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X:\環境資源循環部\下水道管理課\庶務係\●使用料徴収\ホームページへのアップロード用\"/>
    </mc:Choice>
  </mc:AlternateContent>
  <xr:revisionPtr revIDLastSave="0" documentId="13_ncr:1_{763D327B-7419-4853-9B17-DC0DF17573B9}" xr6:coauthVersionLast="47" xr6:coauthVersionMax="47" xr10:uidLastSave="{00000000-0000-0000-0000-000000000000}"/>
  <bookViews>
    <workbookView xWindow="28680" yWindow="-15" windowWidth="29040" windowHeight="15720" firstSheet="2" activeTab="2" xr2:uid="{00000000-000D-0000-FFFF-FFFF00000000}"/>
  </bookViews>
  <sheets>
    <sheet name="８％対応" sheetId="1" state="hidden" r:id="rId1"/>
    <sheet name="改定前（消費税10%）" sheetId="4" state="hidden" r:id="rId2"/>
    <sheet name="改定後　計算シート" sheetId="12" r:id="rId3"/>
  </sheets>
  <definedNames>
    <definedName name="_xlnm.Print_Area" localSheetId="0">'８％対応'!$A$1:$H$59</definedName>
    <definedName name="_xlnm.Print_Area" localSheetId="2">'改定後　計算シート'!$A$1:$D$19</definedName>
    <definedName name="_xlnm.Print_Area" localSheetId="1">'改定前（消費税10%）'!$A$1:$H$59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J18" i="12"/>
  <c r="J19" i="12" s="1"/>
  <c r="J20" i="12" s="1"/>
  <c r="J21" i="12" s="1"/>
  <c r="J22" i="12" s="1"/>
  <c r="J23" i="12" s="1"/>
  <c r="J17" i="12"/>
  <c r="C16" i="12" s="1"/>
  <c r="J7" i="12"/>
  <c r="J8" i="12" s="1"/>
  <c r="J9" i="12" s="1"/>
  <c r="J10" i="12" s="1"/>
  <c r="J11" i="12" s="1"/>
  <c r="J12" i="12" s="1"/>
  <c r="E57" i="4" l="1"/>
  <c r="B57" i="4"/>
  <c r="E56" i="4"/>
  <c r="B56" i="4"/>
  <c r="E55" i="4"/>
  <c r="B55" i="4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H33" i="4"/>
  <c r="E33" i="4"/>
  <c r="B33" i="4"/>
  <c r="H32" i="4"/>
  <c r="E32" i="4"/>
  <c r="B32" i="4"/>
  <c r="H31" i="4"/>
  <c r="E31" i="4"/>
  <c r="B31" i="4"/>
  <c r="H30" i="4"/>
  <c r="E30" i="4"/>
  <c r="B30" i="4"/>
  <c r="H29" i="4"/>
  <c r="E29" i="4"/>
  <c r="B29" i="4"/>
  <c r="H28" i="4"/>
  <c r="E28" i="4"/>
  <c r="B28" i="4"/>
  <c r="H27" i="4"/>
  <c r="E27" i="4"/>
  <c r="B27" i="4"/>
  <c r="H26" i="4"/>
  <c r="E26" i="4"/>
  <c r="B26" i="4"/>
  <c r="H25" i="4"/>
  <c r="E25" i="4"/>
  <c r="B25" i="4"/>
  <c r="H24" i="4"/>
  <c r="E24" i="4"/>
  <c r="B24" i="4"/>
  <c r="H23" i="4"/>
  <c r="E23" i="4"/>
  <c r="B23" i="4"/>
  <c r="H22" i="4"/>
  <c r="E22" i="4"/>
  <c r="B22" i="4"/>
  <c r="H21" i="4"/>
  <c r="E21" i="4"/>
  <c r="B21" i="4"/>
  <c r="H20" i="4"/>
  <c r="E20" i="4"/>
  <c r="B20" i="4"/>
  <c r="H19" i="4"/>
  <c r="E19" i="4"/>
  <c r="B19" i="4"/>
  <c r="H18" i="4"/>
  <c r="E18" i="4"/>
  <c r="B18" i="4"/>
  <c r="H17" i="4"/>
  <c r="E17" i="4"/>
  <c r="B17" i="4"/>
  <c r="H16" i="4"/>
  <c r="E16" i="4"/>
  <c r="B16" i="4"/>
  <c r="H15" i="4"/>
  <c r="E15" i="4"/>
  <c r="B15" i="4"/>
  <c r="H14" i="4"/>
  <c r="E14" i="4"/>
  <c r="B14" i="4"/>
  <c r="H13" i="4"/>
  <c r="E13" i="4"/>
  <c r="B13" i="4"/>
  <c r="H12" i="4"/>
  <c r="E12" i="4"/>
  <c r="B12" i="4"/>
  <c r="H11" i="4"/>
  <c r="E11" i="4"/>
  <c r="B11" i="4"/>
  <c r="H10" i="4"/>
  <c r="E10" i="4"/>
  <c r="B10" i="4"/>
  <c r="H9" i="4"/>
  <c r="E9" i="4"/>
  <c r="B9" i="4"/>
  <c r="H8" i="4"/>
  <c r="E8" i="4"/>
  <c r="B8" i="4"/>
  <c r="H7" i="4"/>
  <c r="E7" i="4"/>
  <c r="B7" i="4"/>
  <c r="H6" i="4"/>
  <c r="E6" i="4"/>
  <c r="B6" i="4"/>
  <c r="H5" i="4"/>
  <c r="E5" i="4"/>
  <c r="B5" i="4"/>
  <c r="H4" i="4"/>
  <c r="E4" i="4"/>
  <c r="B4" i="4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  <c r="H6" i="1"/>
  <c r="E6" i="1"/>
  <c r="B6" i="1"/>
  <c r="H5" i="1"/>
  <c r="E5" i="1"/>
  <c r="B5" i="1"/>
  <c r="H4" i="1"/>
  <c r="E4" i="1"/>
  <c r="B4" i="1"/>
</calcChain>
</file>

<file path=xl/sharedStrings.xml><?xml version="1.0" encoding="utf-8"?>
<sst xmlns="http://schemas.openxmlformats.org/spreadsheetml/2006/main" count="350" uniqueCount="192">
  <si>
    <t>下水道使用料早見表（２ヶ月）</t>
  </si>
  <si>
    <t>平成２６年６月分より適用</t>
  </si>
  <si>
    <t>使用水量</t>
  </si>
  <si>
    <t>使用料
（円・税込）</t>
  </si>
  <si>
    <t>20立方メートルまで</t>
  </si>
  <si>
    <t>74立方メートル</t>
  </si>
  <si>
    <t>128立方メートル</t>
  </si>
  <si>
    <t>21立方メートル</t>
  </si>
  <si>
    <t>75立方メートル</t>
  </si>
  <si>
    <t>129立方メートル</t>
  </si>
  <si>
    <t>22立方メートル</t>
  </si>
  <si>
    <t>76立方メートル</t>
  </si>
  <si>
    <t>130立方メートル</t>
  </si>
  <si>
    <t>23立方メートル</t>
  </si>
  <si>
    <t>77立方メートル</t>
  </si>
  <si>
    <t>131立方メートル</t>
  </si>
  <si>
    <t>24立方メートル</t>
  </si>
  <si>
    <t>78立方メートル</t>
  </si>
  <si>
    <t>132立方メートル</t>
  </si>
  <si>
    <t>25立方メートル</t>
  </si>
  <si>
    <t>79立方メートル</t>
  </si>
  <si>
    <t>133立方メートル</t>
  </si>
  <si>
    <t>26立方メートル</t>
  </si>
  <si>
    <t>80立方メートル</t>
  </si>
  <si>
    <t>134立方メートル</t>
  </si>
  <si>
    <t>27立方メートル</t>
  </si>
  <si>
    <t>81立方メートル</t>
  </si>
  <si>
    <t>135立方メートル</t>
  </si>
  <si>
    <t>28立方メートル</t>
  </si>
  <si>
    <t>82立方メートル</t>
  </si>
  <si>
    <t>136立方メートル</t>
  </si>
  <si>
    <t>29立方メートル</t>
  </si>
  <si>
    <t>83立方メートル</t>
  </si>
  <si>
    <t>137立方メートル</t>
  </si>
  <si>
    <t>30立方メートル</t>
  </si>
  <si>
    <t>84立方メートル</t>
  </si>
  <si>
    <t>138立方メートル</t>
  </si>
  <si>
    <t>31立方メートル</t>
  </si>
  <si>
    <t>85立方メートル</t>
  </si>
  <si>
    <t>139立方メートル</t>
  </si>
  <si>
    <t>32立方メートル</t>
  </si>
  <si>
    <t>86立方メートル</t>
  </si>
  <si>
    <t>140立方メートル</t>
  </si>
  <si>
    <t>33立方メートル</t>
  </si>
  <si>
    <t>87立方メートル</t>
  </si>
  <si>
    <t>141立方メートル</t>
  </si>
  <si>
    <t>34立方メートル</t>
  </si>
  <si>
    <t>88立方メートル</t>
  </si>
  <si>
    <t>142立方メートル</t>
  </si>
  <si>
    <t>35立方メートル</t>
  </si>
  <si>
    <t>89立方メートル</t>
  </si>
  <si>
    <t>143立方メートル</t>
  </si>
  <si>
    <t>36立方メートル</t>
  </si>
  <si>
    <t>90立方メートル</t>
  </si>
  <si>
    <t>144立方メートル</t>
  </si>
  <si>
    <t>37立方メートル</t>
  </si>
  <si>
    <t>91立方メートル</t>
  </si>
  <si>
    <t>145立方メートル</t>
  </si>
  <si>
    <t>38立方メートル</t>
  </si>
  <si>
    <t>92立方メートル</t>
  </si>
  <si>
    <t>146立方メートル</t>
  </si>
  <si>
    <t>39立方メートル</t>
  </si>
  <si>
    <t>93立方メートル</t>
  </si>
  <si>
    <t>147立方メートル</t>
  </si>
  <si>
    <t>40立方メートル</t>
  </si>
  <si>
    <t>94立方メートル</t>
  </si>
  <si>
    <t>148立方メートル</t>
  </si>
  <si>
    <t>41立方メートル</t>
  </si>
  <si>
    <t>95立方メートル</t>
  </si>
  <si>
    <t>149立方メートル</t>
  </si>
  <si>
    <t>42立方メートル</t>
  </si>
  <si>
    <t>96立方メートル</t>
  </si>
  <si>
    <t>150立方メートル</t>
  </si>
  <si>
    <t>43立方メートル</t>
  </si>
  <si>
    <t>97立方メートル</t>
  </si>
  <si>
    <t>200立方メートル</t>
  </si>
  <si>
    <t>44立方メートル</t>
  </si>
  <si>
    <t>98立方メートル</t>
  </si>
  <si>
    <t>300立方メートル</t>
  </si>
  <si>
    <t>45立方メートル</t>
  </si>
  <si>
    <t>99立方メートル</t>
  </si>
  <si>
    <t>400立方メートル</t>
  </si>
  <si>
    <t>46立方メートル</t>
  </si>
  <si>
    <t>100立方メートル</t>
  </si>
  <si>
    <t>500立方メートル</t>
  </si>
  <si>
    <t>47立方メートル</t>
  </si>
  <si>
    <t>101立方メートル</t>
  </si>
  <si>
    <t>1000立方メートル</t>
  </si>
  <si>
    <t>48立方メートル</t>
  </si>
  <si>
    <t>102立方メートル</t>
  </si>
  <si>
    <t>2000立方メートル</t>
  </si>
  <si>
    <t>49立方メートル</t>
  </si>
  <si>
    <t>103立方メートル</t>
  </si>
  <si>
    <t>3000立方メートル</t>
  </si>
  <si>
    <t>50立方メートル</t>
  </si>
  <si>
    <t>104立方メートル</t>
  </si>
  <si>
    <t>51立方メートル</t>
  </si>
  <si>
    <t>105立方メートル</t>
  </si>
  <si>
    <t>52立方メートル</t>
  </si>
  <si>
    <t>106立方メートル</t>
  </si>
  <si>
    <t>53立方メートル</t>
  </si>
  <si>
    <t>107立方メートル</t>
  </si>
  <si>
    <t>54立方メートル</t>
  </si>
  <si>
    <t>108立方メートル</t>
  </si>
  <si>
    <t>55立方メートル</t>
  </si>
  <si>
    <t>109立方メートル</t>
  </si>
  <si>
    <t>56立方メートル</t>
  </si>
  <si>
    <t>110立方メートル</t>
  </si>
  <si>
    <t>57立方メートル</t>
  </si>
  <si>
    <t>111立方メートル</t>
  </si>
  <si>
    <t>58立方メートル</t>
  </si>
  <si>
    <t>112立方メートル</t>
  </si>
  <si>
    <t>59立方メートル</t>
  </si>
  <si>
    <t>113立方メートル</t>
  </si>
  <si>
    <t>60立方メートル</t>
  </si>
  <si>
    <t>114立方メートル</t>
  </si>
  <si>
    <t>61立方メートル</t>
  </si>
  <si>
    <t>115立方メートル</t>
  </si>
  <si>
    <t>62立方メートル</t>
  </si>
  <si>
    <t>116立方メートル</t>
  </si>
  <si>
    <t>63立方メートル</t>
  </si>
  <si>
    <t>117立方メートル</t>
  </si>
  <si>
    <t>64立方メートル</t>
  </si>
  <si>
    <t>118立方メートル</t>
  </si>
  <si>
    <t>65立方メートル</t>
  </si>
  <si>
    <t>119立方メートル</t>
  </si>
  <si>
    <t>66立方メートル</t>
  </si>
  <si>
    <t>120立方メートル</t>
  </si>
  <si>
    <t>67立方メートル</t>
  </si>
  <si>
    <t>121立方メートル</t>
  </si>
  <si>
    <t>68立方メートル</t>
  </si>
  <si>
    <t>122立方メートル</t>
  </si>
  <si>
    <t>69立方メートル</t>
  </si>
  <si>
    <t>123立方メートル</t>
  </si>
  <si>
    <t>70立方メートル</t>
  </si>
  <si>
    <t>124立方メートル</t>
  </si>
  <si>
    <t>71立方メートル</t>
  </si>
  <si>
    <t>125立方メートル</t>
  </si>
  <si>
    <t>72立方メートル</t>
  </si>
  <si>
    <t>126立方メートル</t>
  </si>
  <si>
    <t>73立方メートル</t>
  </si>
  <si>
    <t>127立方メートル</t>
  </si>
  <si>
    <t>＊この表に掲載のない水量については、「使用料速算式」を用いて計算してください。</t>
  </si>
  <si>
    <t>令和元年１２月分より適用</t>
  </si>
  <si>
    <t>種別</t>
    <rPh sb="0" eb="2">
      <t>シュベツ</t>
    </rPh>
    <phoneticPr fontId="3"/>
  </si>
  <si>
    <t>一般
汚水</t>
    <rPh sb="0" eb="2">
      <t>イッパン</t>
    </rPh>
    <rPh sb="3" eb="5">
      <t>オスイ</t>
    </rPh>
    <phoneticPr fontId="3"/>
  </si>
  <si>
    <t>基本料金</t>
    <rPh sb="0" eb="4">
      <t>キホンリョウキン</t>
    </rPh>
    <phoneticPr fontId="3"/>
  </si>
  <si>
    <t>0㎥～10㎥</t>
    <phoneticPr fontId="3"/>
  </si>
  <si>
    <t>従量料金
（1㎥あたりの
使用料）</t>
    <rPh sb="0" eb="4">
      <t>ジュウリョウリョウキン</t>
    </rPh>
    <rPh sb="13" eb="16">
      <t>シヨウリョウ</t>
    </rPh>
    <phoneticPr fontId="3"/>
  </si>
  <si>
    <t>11㎥～20㎥</t>
    <phoneticPr fontId="3"/>
  </si>
  <si>
    <t>21㎥～50㎥</t>
    <phoneticPr fontId="3"/>
  </si>
  <si>
    <t>51㎥～100㎥</t>
    <phoneticPr fontId="3"/>
  </si>
  <si>
    <t>101㎥～200㎥</t>
    <phoneticPr fontId="3"/>
  </si>
  <si>
    <t>201㎥～500㎥</t>
    <phoneticPr fontId="3"/>
  </si>
  <si>
    <t>501㎥～1,000㎥</t>
    <phoneticPr fontId="3"/>
  </si>
  <si>
    <t>1,001㎥以上</t>
    <rPh sb="6" eb="8">
      <t>イジョウ</t>
    </rPh>
    <phoneticPr fontId="3"/>
  </si>
  <si>
    <t>区分
（２か月あたり）</t>
    <rPh sb="0" eb="2">
      <t>クブン</t>
    </rPh>
    <rPh sb="6" eb="7">
      <t>ゲツ</t>
    </rPh>
    <phoneticPr fontId="3"/>
  </si>
  <si>
    <t>備考</t>
    <rPh sb="0" eb="2">
      <t>ビコウ</t>
    </rPh>
    <phoneticPr fontId="3"/>
  </si>
  <si>
    <t>0㎥～20㎥</t>
    <phoneticPr fontId="3"/>
  </si>
  <si>
    <t>41㎥～100㎥</t>
    <phoneticPr fontId="3"/>
  </si>
  <si>
    <t>21㎥～40㎥</t>
    <phoneticPr fontId="3"/>
  </si>
  <si>
    <t>201㎥～400㎥</t>
    <phoneticPr fontId="3"/>
  </si>
  <si>
    <t>401㎥～1,000㎥</t>
    <phoneticPr fontId="3"/>
  </si>
  <si>
    <t>1,001㎥～2,000㎥</t>
    <phoneticPr fontId="3"/>
  </si>
  <si>
    <t>2,001㎥以上</t>
    <rPh sb="6" eb="8">
      <t>イジョウ</t>
    </rPh>
    <phoneticPr fontId="3"/>
  </si>
  <si>
    <t>単価表</t>
    <rPh sb="0" eb="3">
      <t>タンカヒョウ</t>
    </rPh>
    <phoneticPr fontId="3"/>
  </si>
  <si>
    <t>←40㎥/2か月使用する場合の使用料</t>
  </si>
  <si>
    <t>←100㎥/2か月使用する場合の使用料</t>
  </si>
  <si>
    <t>←200㎥/2か月使用する場合の使用料</t>
  </si>
  <si>
    <t>←400㎥/2か月使用する場合の使用料</t>
  </si>
  <si>
    <t>←1,000㎥/2か月使用する場合の使用料</t>
  </si>
  <si>
    <t>←2,000㎥/2か月使用する場合の使用料</t>
  </si>
  <si>
    <t>単価</t>
    <rPh sb="0" eb="2">
      <t>タンカ</t>
    </rPh>
    <phoneticPr fontId="3"/>
  </si>
  <si>
    <t>区分
（１か月あたり）</t>
    <rPh sb="0" eb="2">
      <t>クブン</t>
    </rPh>
    <rPh sb="6" eb="7">
      <t>ゲツ</t>
    </rPh>
    <phoneticPr fontId="3"/>
  </si>
  <si>
    <t>←20㎥/1か月使用する場合の使用料</t>
    <phoneticPr fontId="3"/>
  </si>
  <si>
    <t>←100㎥/1か月使用する場合の使用料</t>
    <phoneticPr fontId="3"/>
  </si>
  <si>
    <t>←200㎥/1か月使用する場合の使用料</t>
    <phoneticPr fontId="3"/>
  </si>
  <si>
    <t>←1,000㎥/1か月使用する場合の使用料</t>
    <phoneticPr fontId="3"/>
  </si>
  <si>
    <t>←50㎥/1か月使用する場合の使用料</t>
    <phoneticPr fontId="3"/>
  </si>
  <si>
    <t>←500㎥/1か月使用する場合の使用料</t>
    <phoneticPr fontId="3"/>
  </si>
  <si>
    <r>
      <t>使用水量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</si>
  <si>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使用水量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</si>
  <si>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下水道使用料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</si>
  <si>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下水道使用料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</si>
  <si>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↑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</si>
  <si>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r>
      <t>↑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</si>
  <si>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t>←20㎥未満/2か月使用する場合の使用料</t>
    <rPh sb="4" eb="6">
      <t>ミマン</t>
    </rPh>
    <phoneticPr fontId="3"/>
  </si>
  <si>
    <r>
      <t>　ここに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phoneticPr fontId="3"/>
  </si>
  <si>
    <r>
      <t>※使用料改定</t>
    </r>
    <r>
      <rPr>
        <b/>
        <sz val="11"/>
        <color rgb="FF00B0F0"/>
        <rFont val="ＭＳ ゴシック"/>
        <family val="3"/>
        <charset val="128"/>
      </rPr>
      <t>後</t>
    </r>
    <r>
      <rPr>
        <sz val="11"/>
        <color theme="1"/>
        <rFont val="ＭＳ ゴシック"/>
        <family val="3"/>
        <charset val="128"/>
      </rPr>
      <t>・消費税10%</t>
    </r>
    <rPh sb="6" eb="7">
      <t>アト</t>
    </rPh>
    <phoneticPr fontId="3"/>
  </si>
  <si>
    <r>
      <t>　ここに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phoneticPr fontId="3"/>
  </si>
  <si>
    <t>下水道使用料（一般汚水）計算シート</t>
    <rPh sb="7" eb="11">
      <t>イッパンオスイ</t>
    </rPh>
    <rPh sb="12" eb="14">
      <t>ケイサン</t>
    </rPh>
    <phoneticPr fontId="3"/>
  </si>
  <si>
    <t>下水道使用料（改定後）</t>
    <rPh sb="0" eb="3">
      <t>ゲスイドウ</t>
    </rPh>
    <rPh sb="3" eb="6">
      <t>シヨウリョウ</t>
    </rPh>
    <rPh sb="7" eb="9">
      <t>カイテイ</t>
    </rPh>
    <rPh sb="9" eb="10">
      <t>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</si>
</sst>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㎥&quot;"/>
    <numFmt numFmtId="177" formatCode="#,##0&quot;円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B0F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00B0F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177" fontId="5" fillId="0" borderId="0" xfId="2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7" fontId="4" fillId="3" borderId="8" xfId="3" applyNumberFormat="1" applyFont="1" applyFill="1" applyBorder="1">
      <alignment vertical="center"/>
    </xf>
    <xf numFmtId="0" fontId="1" fillId="0" borderId="1" xfId="2" applyBorder="1" applyAlignment="1">
      <alignment horizontal="left" vertical="center"/>
    </xf>
    <xf numFmtId="177" fontId="1" fillId="0" borderId="1" xfId="2" applyNumberFormat="1" applyBorder="1" applyAlignment="1">
      <alignment horizontal="right" vertical="center"/>
    </xf>
    <xf numFmtId="177" fontId="1" fillId="0" borderId="1" xfId="2" applyNumberFormat="1" applyBorder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3" applyNumberFormat="1" applyFont="1" applyBorder="1">
      <alignment vertical="center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/>
    </xf>
    <xf numFmtId="177" fontId="1" fillId="0" borderId="0" xfId="2" applyNumberFormat="1" applyAlignment="1">
      <alignment horizontal="right" vertical="center"/>
    </xf>
    <xf numFmtId="177" fontId="4" fillId="2" borderId="8" xfId="3" applyNumberFormat="1" applyFont="1" applyFill="1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176" fontId="4" fillId="3" borderId="9" xfId="2" applyNumberFormat="1" applyFont="1" applyFill="1" applyBorder="1" applyAlignment="1" applyProtection="1">
      <alignment horizontal="right" vertical="center"/>
      <protection locked="0"/>
    </xf>
    <xf numFmtId="176" fontId="4" fillId="2" borderId="9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</cellXfs>
  <cellStyles count="4">
    <cellStyle name="桁区切り" xfId="1" builtinId="6"/>
    <cellStyle name="桁区切り 2" xfId="3" xr:uid="{60807868-7EC5-4D65-9C2A-84BC204A9C61}"/>
    <cellStyle name="標準" xfId="0" builtinId="0"/>
    <cellStyle name="標準 2" xfId="2" xr:uid="{C621C8DB-9295-4813-AE3A-485942734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B4" sqref="B4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8" t="s">
        <v>0</v>
      </c>
      <c r="B1" s="28"/>
      <c r="H1" s="1" t="s">
        <v>1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INT(1060*1.08)</f>
        <v>1144</v>
      </c>
      <c r="D4" s="4" t="s">
        <v>5</v>
      </c>
      <c r="E4" s="5">
        <f>INT((115*34+2560)*1.08)</f>
        <v>6987</v>
      </c>
      <c r="G4" s="4" t="s">
        <v>6</v>
      </c>
      <c r="H4" s="5">
        <f>INT((150*28+9460)*1.08)</f>
        <v>14752</v>
      </c>
    </row>
    <row r="5" spans="1:8" x14ac:dyDescent="0.2">
      <c r="A5" s="4" t="s">
        <v>7</v>
      </c>
      <c r="B5" s="5">
        <f>INT((75+1060)*1.08)</f>
        <v>1225</v>
      </c>
      <c r="D5" s="4" t="s">
        <v>8</v>
      </c>
      <c r="E5" s="5">
        <f>INT((115*35+2560)*1.08)</f>
        <v>7111</v>
      </c>
      <c r="G5" s="4" t="s">
        <v>9</v>
      </c>
      <c r="H5" s="5">
        <f>INT((150*29+9460)*1.08)</f>
        <v>14914</v>
      </c>
    </row>
    <row r="6" spans="1:8" x14ac:dyDescent="0.2">
      <c r="A6" s="4" t="s">
        <v>10</v>
      </c>
      <c r="B6" s="5">
        <f>INT((75*2+1060)*1.08)</f>
        <v>1306</v>
      </c>
      <c r="D6" s="4" t="s">
        <v>11</v>
      </c>
      <c r="E6" s="5">
        <f>INT((115*36+2560)*1.08)</f>
        <v>7236</v>
      </c>
      <c r="G6" s="4" t="s">
        <v>12</v>
      </c>
      <c r="H6" s="5">
        <f>INT((150*30+9460)*1.08)</f>
        <v>15076</v>
      </c>
    </row>
    <row r="7" spans="1:8" x14ac:dyDescent="0.2">
      <c r="A7" s="4" t="s">
        <v>13</v>
      </c>
      <c r="B7" s="5">
        <f>INT((75*3+1060)*1.08)</f>
        <v>1387</v>
      </c>
      <c r="D7" s="4" t="s">
        <v>14</v>
      </c>
      <c r="E7" s="5">
        <f>INT((115*37+2560)*1.08)</f>
        <v>7360</v>
      </c>
      <c r="G7" s="4" t="s">
        <v>15</v>
      </c>
      <c r="H7" s="5">
        <f>INT((150*31+9460)*1.08)</f>
        <v>15238</v>
      </c>
    </row>
    <row r="8" spans="1:8" x14ac:dyDescent="0.2">
      <c r="A8" s="4" t="s">
        <v>16</v>
      </c>
      <c r="B8" s="5">
        <f>INT((75*4+1060)*1.08)</f>
        <v>1468</v>
      </c>
      <c r="D8" s="4" t="s">
        <v>17</v>
      </c>
      <c r="E8" s="5">
        <f>INT((115*38+2560)*1.08)</f>
        <v>7484</v>
      </c>
      <c r="G8" s="4" t="s">
        <v>18</v>
      </c>
      <c r="H8" s="5">
        <f>INT((150*32+9460)*1.08)</f>
        <v>15400</v>
      </c>
    </row>
    <row r="9" spans="1:8" x14ac:dyDescent="0.2">
      <c r="A9" s="4" t="s">
        <v>19</v>
      </c>
      <c r="B9" s="5">
        <f>INT((75*5+1060)*1.08)</f>
        <v>1549</v>
      </c>
      <c r="D9" s="4" t="s">
        <v>20</v>
      </c>
      <c r="E9" s="5">
        <f>INT((115*39+2560)*1.08)</f>
        <v>7608</v>
      </c>
      <c r="G9" s="4" t="s">
        <v>21</v>
      </c>
      <c r="H9" s="5">
        <f>INT((150*33+9460)*1.08)</f>
        <v>15562</v>
      </c>
    </row>
    <row r="10" spans="1:8" x14ac:dyDescent="0.2">
      <c r="A10" s="4" t="s">
        <v>22</v>
      </c>
      <c r="B10" s="5">
        <f>INT((75*6+1060)*1.08)</f>
        <v>1630</v>
      </c>
      <c r="D10" s="4" t="s">
        <v>23</v>
      </c>
      <c r="E10" s="5">
        <f>INT((115*40+2560)*1.08)</f>
        <v>7732</v>
      </c>
      <c r="G10" s="4" t="s">
        <v>24</v>
      </c>
      <c r="H10" s="5">
        <f>INT((150*34+9460)*1.08)</f>
        <v>15724</v>
      </c>
    </row>
    <row r="11" spans="1:8" x14ac:dyDescent="0.2">
      <c r="A11" s="4" t="s">
        <v>25</v>
      </c>
      <c r="B11" s="5">
        <f>INT((75*7+1060)*1.08)</f>
        <v>1711</v>
      </c>
      <c r="D11" s="4" t="s">
        <v>26</v>
      </c>
      <c r="E11" s="5">
        <f>INT((115*41+2560)*1.08)</f>
        <v>7857</v>
      </c>
      <c r="G11" s="4" t="s">
        <v>27</v>
      </c>
      <c r="H11" s="5">
        <f>INT((150*35+9460)*1.08)</f>
        <v>15886</v>
      </c>
    </row>
    <row r="12" spans="1:8" x14ac:dyDescent="0.2">
      <c r="A12" s="4" t="s">
        <v>28</v>
      </c>
      <c r="B12" s="5">
        <f>INT((75*8+1060)*1.08)</f>
        <v>1792</v>
      </c>
      <c r="D12" s="4" t="s">
        <v>29</v>
      </c>
      <c r="E12" s="5">
        <f>INT((115*42+2560)*1.08)</f>
        <v>7981</v>
      </c>
      <c r="G12" s="4" t="s">
        <v>30</v>
      </c>
      <c r="H12" s="5">
        <f>INT((150*36+9460)*1.08)</f>
        <v>16048</v>
      </c>
    </row>
    <row r="13" spans="1:8" x14ac:dyDescent="0.2">
      <c r="A13" s="4" t="s">
        <v>31</v>
      </c>
      <c r="B13" s="5">
        <f>INT((75*9+1060)*1.08)</f>
        <v>1873</v>
      </c>
      <c r="D13" s="4" t="s">
        <v>32</v>
      </c>
      <c r="E13" s="5">
        <f>INT((115*43+2560)*1.08)</f>
        <v>8105</v>
      </c>
      <c r="G13" s="4" t="s">
        <v>33</v>
      </c>
      <c r="H13" s="5">
        <f>INT((150*37+9460)*1.08)</f>
        <v>16210</v>
      </c>
    </row>
    <row r="14" spans="1:8" x14ac:dyDescent="0.2">
      <c r="A14" s="4" t="s">
        <v>34</v>
      </c>
      <c r="B14" s="5">
        <f>INT((75*10+1060)*1.08)</f>
        <v>1954</v>
      </c>
      <c r="D14" s="4" t="s">
        <v>35</v>
      </c>
      <c r="E14" s="5">
        <f>INT((115*44+2560)*1.08)</f>
        <v>8229</v>
      </c>
      <c r="G14" s="4" t="s">
        <v>36</v>
      </c>
      <c r="H14" s="5">
        <f>INT((150*38+9460)*1.08)</f>
        <v>16372</v>
      </c>
    </row>
    <row r="15" spans="1:8" x14ac:dyDescent="0.2">
      <c r="A15" s="4" t="s">
        <v>37</v>
      </c>
      <c r="B15" s="5">
        <f>INT((75*11+1060)*1.08)</f>
        <v>2035</v>
      </c>
      <c r="D15" s="4" t="s">
        <v>38</v>
      </c>
      <c r="E15" s="5">
        <f>INT((115*45+2560)*1.08)</f>
        <v>8353</v>
      </c>
      <c r="G15" s="4" t="s">
        <v>39</v>
      </c>
      <c r="H15" s="5">
        <f>INT((150*39+9460)*1.08)</f>
        <v>16534</v>
      </c>
    </row>
    <row r="16" spans="1:8" x14ac:dyDescent="0.2">
      <c r="A16" s="4" t="s">
        <v>40</v>
      </c>
      <c r="B16" s="5">
        <f>INT((75*12+1060)*1.08)</f>
        <v>2116</v>
      </c>
      <c r="D16" s="4" t="s">
        <v>41</v>
      </c>
      <c r="E16" s="5">
        <f>INT((115*46+2560)*1.08)</f>
        <v>8478</v>
      </c>
      <c r="G16" s="4" t="s">
        <v>42</v>
      </c>
      <c r="H16" s="5">
        <f>INT((150*40+9460)*1.08)</f>
        <v>16696</v>
      </c>
    </row>
    <row r="17" spans="1:8" x14ac:dyDescent="0.2">
      <c r="A17" s="4" t="s">
        <v>43</v>
      </c>
      <c r="B17" s="5">
        <f>INT((75*13+1060)*1.08)</f>
        <v>2197</v>
      </c>
      <c r="D17" s="4" t="s">
        <v>44</v>
      </c>
      <c r="E17" s="5">
        <f>INT((115*47+2560)*1.08)</f>
        <v>8602</v>
      </c>
      <c r="G17" s="4" t="s">
        <v>45</v>
      </c>
      <c r="H17" s="5">
        <f>INT((150*41+9460)*1.08)</f>
        <v>16858</v>
      </c>
    </row>
    <row r="18" spans="1:8" x14ac:dyDescent="0.2">
      <c r="A18" s="4" t="s">
        <v>46</v>
      </c>
      <c r="B18" s="5">
        <f>INT((75*14+1060)*1.08)</f>
        <v>2278</v>
      </c>
      <c r="D18" s="4" t="s">
        <v>47</v>
      </c>
      <c r="E18" s="5">
        <f>INT((115*48+2560)*1.08)</f>
        <v>8726</v>
      </c>
      <c r="G18" s="4" t="s">
        <v>48</v>
      </c>
      <c r="H18" s="5">
        <f>INT((150*42+9460)*1.08)</f>
        <v>17020</v>
      </c>
    </row>
    <row r="19" spans="1:8" x14ac:dyDescent="0.2">
      <c r="A19" s="4" t="s">
        <v>49</v>
      </c>
      <c r="B19" s="5">
        <f>INT((75*15+1060)*1.08)</f>
        <v>2359</v>
      </c>
      <c r="D19" s="4" t="s">
        <v>50</v>
      </c>
      <c r="E19" s="5">
        <f>INT((115*49+2560)*1.08)</f>
        <v>8850</v>
      </c>
      <c r="G19" s="4" t="s">
        <v>51</v>
      </c>
      <c r="H19" s="5">
        <f>INT((150*43+9460)*1.08)</f>
        <v>17182</v>
      </c>
    </row>
    <row r="20" spans="1:8" x14ac:dyDescent="0.2">
      <c r="A20" s="4" t="s">
        <v>52</v>
      </c>
      <c r="B20" s="5">
        <f>INT((75*16+1060)*1.08)</f>
        <v>2440</v>
      </c>
      <c r="D20" s="4" t="s">
        <v>53</v>
      </c>
      <c r="E20" s="5">
        <f>INT((115*50+2560)*1.08)</f>
        <v>8974</v>
      </c>
      <c r="G20" s="4" t="s">
        <v>54</v>
      </c>
      <c r="H20" s="5">
        <f>INT((150*44+9460)*1.08)</f>
        <v>17344</v>
      </c>
    </row>
    <row r="21" spans="1:8" x14ac:dyDescent="0.2">
      <c r="A21" s="4" t="s">
        <v>55</v>
      </c>
      <c r="B21" s="5">
        <f>INT((75*17+1060)*1.08)</f>
        <v>2521</v>
      </c>
      <c r="D21" s="4" t="s">
        <v>56</v>
      </c>
      <c r="E21" s="5">
        <f>INT((115*51+2560)*1.08)</f>
        <v>9099</v>
      </c>
      <c r="G21" s="4" t="s">
        <v>57</v>
      </c>
      <c r="H21" s="5">
        <f>INT((150*45+9460)*1.08)</f>
        <v>17506</v>
      </c>
    </row>
    <row r="22" spans="1:8" x14ac:dyDescent="0.2">
      <c r="A22" s="4" t="s">
        <v>58</v>
      </c>
      <c r="B22" s="5">
        <f>INT((75*18+1060)*1.08)</f>
        <v>2602</v>
      </c>
      <c r="D22" s="4" t="s">
        <v>59</v>
      </c>
      <c r="E22" s="5">
        <f>INT((115*52+2560)*1.08)</f>
        <v>9223</v>
      </c>
      <c r="G22" s="4" t="s">
        <v>60</v>
      </c>
      <c r="H22" s="5">
        <f>INT((150*46+9460)*1.08)</f>
        <v>17668</v>
      </c>
    </row>
    <row r="23" spans="1:8" x14ac:dyDescent="0.2">
      <c r="A23" s="4" t="s">
        <v>61</v>
      </c>
      <c r="B23" s="5">
        <f>INT((75*19+1060)*1.08)</f>
        <v>2683</v>
      </c>
      <c r="D23" s="4" t="s">
        <v>62</v>
      </c>
      <c r="E23" s="5">
        <f>INT((115*53+2560)*1.08)</f>
        <v>9347</v>
      </c>
      <c r="G23" s="4" t="s">
        <v>63</v>
      </c>
      <c r="H23" s="5">
        <f>INT((150*47+9460)*1.08)</f>
        <v>17830</v>
      </c>
    </row>
    <row r="24" spans="1:8" x14ac:dyDescent="0.2">
      <c r="A24" s="4" t="s">
        <v>64</v>
      </c>
      <c r="B24" s="5">
        <f>INT((75*20+1060)*1.08)</f>
        <v>2764</v>
      </c>
      <c r="D24" s="4" t="s">
        <v>65</v>
      </c>
      <c r="E24" s="5">
        <f>INT((115*54+2560)*1.08)</f>
        <v>9471</v>
      </c>
      <c r="G24" s="4" t="s">
        <v>66</v>
      </c>
      <c r="H24" s="5">
        <f>INT((150*48+9460)*1.08)</f>
        <v>17992</v>
      </c>
    </row>
    <row r="25" spans="1:8" x14ac:dyDescent="0.2">
      <c r="A25" s="4" t="s">
        <v>67</v>
      </c>
      <c r="B25" s="5">
        <f>INT((115+2560)*1.08)</f>
        <v>2889</v>
      </c>
      <c r="D25" s="4" t="s">
        <v>68</v>
      </c>
      <c r="E25" s="5">
        <f>INT((115*55+2560)*1.08)</f>
        <v>9595</v>
      </c>
      <c r="G25" s="4" t="s">
        <v>69</v>
      </c>
      <c r="H25" s="5">
        <f>INT((150*49+9460)*1.08)</f>
        <v>18154</v>
      </c>
    </row>
    <row r="26" spans="1:8" x14ac:dyDescent="0.2">
      <c r="A26" s="4" t="s">
        <v>70</v>
      </c>
      <c r="B26" s="5">
        <f>INT((115*2+2560)*1.08)</f>
        <v>3013</v>
      </c>
      <c r="D26" s="4" t="s">
        <v>71</v>
      </c>
      <c r="E26" s="5">
        <f>INT((115*56+2560)*1.08)</f>
        <v>9720</v>
      </c>
      <c r="G26" s="4" t="s">
        <v>72</v>
      </c>
      <c r="H26" s="5">
        <f>INT((150*50+9460)*1.08)</f>
        <v>18316</v>
      </c>
    </row>
    <row r="27" spans="1:8" x14ac:dyDescent="0.2">
      <c r="A27" s="4" t="s">
        <v>73</v>
      </c>
      <c r="B27" s="5">
        <f>INT((115*3+2560)*1.08)</f>
        <v>3137</v>
      </c>
      <c r="D27" s="4" t="s">
        <v>74</v>
      </c>
      <c r="E27" s="5">
        <f>INT((115*57+2560)*1.08)</f>
        <v>9844</v>
      </c>
      <c r="G27" s="4" t="s">
        <v>75</v>
      </c>
      <c r="H27" s="5">
        <f>INT((150*100+9460)*1.08)</f>
        <v>26416</v>
      </c>
    </row>
    <row r="28" spans="1:8" x14ac:dyDescent="0.2">
      <c r="A28" s="4" t="s">
        <v>76</v>
      </c>
      <c r="B28" s="5">
        <f>INT((115*4+2560)*1.08)</f>
        <v>3261</v>
      </c>
      <c r="D28" s="4" t="s">
        <v>77</v>
      </c>
      <c r="E28" s="5">
        <f>INT((115*58+2560)*1.08)</f>
        <v>9968</v>
      </c>
      <c r="G28" s="4" t="s">
        <v>78</v>
      </c>
      <c r="H28" s="5">
        <f>INT((200*100+24460)*1.08)</f>
        <v>48016</v>
      </c>
    </row>
    <row r="29" spans="1:8" x14ac:dyDescent="0.2">
      <c r="A29" s="4" t="s">
        <v>79</v>
      </c>
      <c r="B29" s="5">
        <f>INT((115*5+2560)*1.08)</f>
        <v>3385</v>
      </c>
      <c r="D29" s="4" t="s">
        <v>80</v>
      </c>
      <c r="E29" s="5">
        <f>INT((115*59+2560)*1.08)</f>
        <v>10092</v>
      </c>
      <c r="G29" s="4" t="s">
        <v>81</v>
      </c>
      <c r="H29" s="5">
        <f>INT((200*200+24460)*1.08)</f>
        <v>69616</v>
      </c>
    </row>
    <row r="30" spans="1:8" x14ac:dyDescent="0.2">
      <c r="A30" s="4" t="s">
        <v>82</v>
      </c>
      <c r="B30" s="5">
        <f>INT((115*6+2560)*1.08)</f>
        <v>3510</v>
      </c>
      <c r="D30" s="4" t="s">
        <v>83</v>
      </c>
      <c r="E30" s="5">
        <f>INT((115*60+2560)*1.08)</f>
        <v>10216</v>
      </c>
      <c r="G30" s="4" t="s">
        <v>84</v>
      </c>
      <c r="H30" s="5">
        <f>INT((245*100+64460)*1.08)</f>
        <v>96076</v>
      </c>
    </row>
    <row r="31" spans="1:8" x14ac:dyDescent="0.2">
      <c r="A31" s="4" t="s">
        <v>85</v>
      </c>
      <c r="B31" s="5">
        <f>INT((115*7+2560)*1.08)</f>
        <v>3634</v>
      </c>
      <c r="D31" s="4" t="s">
        <v>86</v>
      </c>
      <c r="E31" s="5">
        <f>INT((150+9460)*1.08)</f>
        <v>10378</v>
      </c>
      <c r="G31" s="4" t="s">
        <v>87</v>
      </c>
      <c r="H31" s="5">
        <f>INT((245*600+64460)*1.08)</f>
        <v>228376</v>
      </c>
    </row>
    <row r="32" spans="1:8" x14ac:dyDescent="0.2">
      <c r="A32" s="4" t="s">
        <v>88</v>
      </c>
      <c r="B32" s="5">
        <f>INT((115*8+2560)*1.08)</f>
        <v>3758</v>
      </c>
      <c r="D32" s="4" t="s">
        <v>89</v>
      </c>
      <c r="E32" s="5">
        <f>INT((150*2+9460)*1.08)</f>
        <v>10540</v>
      </c>
      <c r="G32" s="4" t="s">
        <v>90</v>
      </c>
      <c r="H32" s="5">
        <f>INT((285*1000+211460)*1.08)</f>
        <v>536176</v>
      </c>
    </row>
    <row r="33" spans="1:8" x14ac:dyDescent="0.2">
      <c r="A33" s="4" t="s">
        <v>91</v>
      </c>
      <c r="B33" s="5">
        <f>INT((115*9+2560)*1.08)</f>
        <v>3882</v>
      </c>
      <c r="D33" s="4" t="s">
        <v>92</v>
      </c>
      <c r="E33" s="5">
        <f>INT((150*3+9460)*1.08)</f>
        <v>10702</v>
      </c>
      <c r="G33" s="4" t="s">
        <v>93</v>
      </c>
      <c r="H33" s="5">
        <f>INT((325*1000+496460)*1.08)</f>
        <v>887176</v>
      </c>
    </row>
    <row r="34" spans="1:8" x14ac:dyDescent="0.2">
      <c r="A34" s="4" t="s">
        <v>94</v>
      </c>
      <c r="B34" s="5">
        <f>INT((115*10+2560)*1.08)</f>
        <v>4006</v>
      </c>
      <c r="D34" s="4" t="s">
        <v>95</v>
      </c>
      <c r="E34" s="5">
        <f>INT((150*4+9460)*1.08)</f>
        <v>10864</v>
      </c>
    </row>
    <row r="35" spans="1:8" x14ac:dyDescent="0.2">
      <c r="A35" s="4" t="s">
        <v>96</v>
      </c>
      <c r="B35" s="5">
        <f>INT((115*11+2560)*1.08)</f>
        <v>4131</v>
      </c>
      <c r="D35" s="4" t="s">
        <v>97</v>
      </c>
      <c r="E35" s="5">
        <f>INT((150*5+9460)*1.08)</f>
        <v>11026</v>
      </c>
    </row>
    <row r="36" spans="1:8" x14ac:dyDescent="0.2">
      <c r="A36" s="4" t="s">
        <v>98</v>
      </c>
      <c r="B36" s="5">
        <f>INT((115*12+2560)*1.08)</f>
        <v>4255</v>
      </c>
      <c r="D36" s="4" t="s">
        <v>99</v>
      </c>
      <c r="E36" s="5">
        <f>INT((150*6+9460)*1.08)</f>
        <v>11188</v>
      </c>
    </row>
    <row r="37" spans="1:8" x14ac:dyDescent="0.2">
      <c r="A37" s="4" t="s">
        <v>100</v>
      </c>
      <c r="B37" s="5">
        <f>INT((115*13+2560)*1.08)</f>
        <v>4379</v>
      </c>
      <c r="D37" s="4" t="s">
        <v>101</v>
      </c>
      <c r="E37" s="5">
        <f>INT((150*7+9460)*1.08)</f>
        <v>11350</v>
      </c>
    </row>
    <row r="38" spans="1:8" x14ac:dyDescent="0.2">
      <c r="A38" s="4" t="s">
        <v>102</v>
      </c>
      <c r="B38" s="5">
        <f>INT((115*14+2560)*1.08)</f>
        <v>4503</v>
      </c>
      <c r="D38" s="4" t="s">
        <v>103</v>
      </c>
      <c r="E38" s="5">
        <f>INT((150*8+9460)*1.08)</f>
        <v>11512</v>
      </c>
    </row>
    <row r="39" spans="1:8" x14ac:dyDescent="0.2">
      <c r="A39" s="4" t="s">
        <v>104</v>
      </c>
      <c r="B39" s="5">
        <f>INT((115*15+2560)*1.08)</f>
        <v>4627</v>
      </c>
      <c r="D39" s="4" t="s">
        <v>105</v>
      </c>
      <c r="E39" s="5">
        <f>INT((150*9+9460)*1.08)</f>
        <v>11674</v>
      </c>
    </row>
    <row r="40" spans="1:8" x14ac:dyDescent="0.2">
      <c r="A40" s="4" t="s">
        <v>106</v>
      </c>
      <c r="B40" s="5">
        <f>INT((115*16+2560)*1.08)</f>
        <v>4752</v>
      </c>
      <c r="D40" s="4" t="s">
        <v>107</v>
      </c>
      <c r="E40" s="5">
        <f>INT((150*10+9460)*1.08)</f>
        <v>11836</v>
      </c>
    </row>
    <row r="41" spans="1:8" x14ac:dyDescent="0.2">
      <c r="A41" s="4" t="s">
        <v>108</v>
      </c>
      <c r="B41" s="5">
        <f>INT((115*17+2560)*1.08)</f>
        <v>4876</v>
      </c>
      <c r="D41" s="4" t="s">
        <v>109</v>
      </c>
      <c r="E41" s="5">
        <f>INT((150*11+9460)*1.08)</f>
        <v>11998</v>
      </c>
    </row>
    <row r="42" spans="1:8" x14ac:dyDescent="0.2">
      <c r="A42" s="4" t="s">
        <v>110</v>
      </c>
      <c r="B42" s="5">
        <f>INT((115*18+2560)*1.08)</f>
        <v>5000</v>
      </c>
      <c r="D42" s="4" t="s">
        <v>111</v>
      </c>
      <c r="E42" s="5">
        <f>INT((150*12+9460)*1.08)</f>
        <v>12160</v>
      </c>
    </row>
    <row r="43" spans="1:8" x14ac:dyDescent="0.2">
      <c r="A43" s="4" t="s">
        <v>112</v>
      </c>
      <c r="B43" s="5">
        <f>INT((115*19+2560)*1.08)</f>
        <v>5124</v>
      </c>
      <c r="D43" s="4" t="s">
        <v>113</v>
      </c>
      <c r="E43" s="5">
        <f>INT((150*13+9460)*1.08)</f>
        <v>12322</v>
      </c>
    </row>
    <row r="44" spans="1:8" x14ac:dyDescent="0.2">
      <c r="A44" s="4" t="s">
        <v>114</v>
      </c>
      <c r="B44" s="5">
        <f>INT((115*20+2560)*1.08)</f>
        <v>5248</v>
      </c>
      <c r="D44" s="4" t="s">
        <v>115</v>
      </c>
      <c r="E44" s="5">
        <f>INT((150*14+9460)*1.08)</f>
        <v>12484</v>
      </c>
    </row>
    <row r="45" spans="1:8" x14ac:dyDescent="0.2">
      <c r="A45" s="4" t="s">
        <v>116</v>
      </c>
      <c r="B45" s="5">
        <f>INT((115*21+2560)*1.08)</f>
        <v>5373</v>
      </c>
      <c r="D45" s="4" t="s">
        <v>117</v>
      </c>
      <c r="E45" s="5">
        <f>INT((150*15+9460)*1.08)</f>
        <v>12646</v>
      </c>
    </row>
    <row r="46" spans="1:8" x14ac:dyDescent="0.2">
      <c r="A46" s="4" t="s">
        <v>118</v>
      </c>
      <c r="B46" s="5">
        <f>INT((115*22+2560)*1.08)</f>
        <v>5497</v>
      </c>
      <c r="D46" s="4" t="s">
        <v>119</v>
      </c>
      <c r="E46" s="5">
        <f>INT((150*16+9460)*1.08)</f>
        <v>12808</v>
      </c>
    </row>
    <row r="47" spans="1:8" x14ac:dyDescent="0.2">
      <c r="A47" s="4" t="s">
        <v>120</v>
      </c>
      <c r="B47" s="5">
        <f>INT((115*23+2560)*1.08)</f>
        <v>5621</v>
      </c>
      <c r="D47" s="4" t="s">
        <v>121</v>
      </c>
      <c r="E47" s="5">
        <f>INT((150*17+9460)*1.08)</f>
        <v>12970</v>
      </c>
    </row>
    <row r="48" spans="1:8" x14ac:dyDescent="0.2">
      <c r="A48" s="4" t="s">
        <v>122</v>
      </c>
      <c r="B48" s="5">
        <f>INT((115*24+2560)*1.08)</f>
        <v>5745</v>
      </c>
      <c r="D48" s="4" t="s">
        <v>123</v>
      </c>
      <c r="E48" s="5">
        <f>INT((150*18+9460)*1.08)</f>
        <v>13132</v>
      </c>
    </row>
    <row r="49" spans="1:5" x14ac:dyDescent="0.2">
      <c r="A49" s="4" t="s">
        <v>124</v>
      </c>
      <c r="B49" s="5">
        <f>INT((115*25+2560)*1.08)</f>
        <v>5869</v>
      </c>
      <c r="D49" s="4" t="s">
        <v>125</v>
      </c>
      <c r="E49" s="5">
        <f>INT((150*19+9460)*1.08)</f>
        <v>13294</v>
      </c>
    </row>
    <row r="50" spans="1:5" x14ac:dyDescent="0.2">
      <c r="A50" s="4" t="s">
        <v>126</v>
      </c>
      <c r="B50" s="5">
        <f>INT((115*26+2560)*1.08)</f>
        <v>5994</v>
      </c>
      <c r="D50" s="4" t="s">
        <v>127</v>
      </c>
      <c r="E50" s="5">
        <f>INT((150*20+9460)*1.08)</f>
        <v>13456</v>
      </c>
    </row>
    <row r="51" spans="1:5" x14ac:dyDescent="0.2">
      <c r="A51" s="4" t="s">
        <v>128</v>
      </c>
      <c r="B51" s="5">
        <f>INT((115*27+2560)*1.08)</f>
        <v>6118</v>
      </c>
      <c r="D51" s="4" t="s">
        <v>129</v>
      </c>
      <c r="E51" s="5">
        <f>INT((150*21+9460)*1.08)</f>
        <v>13618</v>
      </c>
    </row>
    <row r="52" spans="1:5" x14ac:dyDescent="0.2">
      <c r="A52" s="4" t="s">
        <v>130</v>
      </c>
      <c r="B52" s="5">
        <f>INT((115*28+2560)*1.08)</f>
        <v>6242</v>
      </c>
      <c r="D52" s="4" t="s">
        <v>131</v>
      </c>
      <c r="E52" s="5">
        <f>INT((150*22+9460)*1.08)</f>
        <v>13780</v>
      </c>
    </row>
    <row r="53" spans="1:5" x14ac:dyDescent="0.2">
      <c r="A53" s="4" t="s">
        <v>132</v>
      </c>
      <c r="B53" s="5">
        <f>INT((115*29+2560)*1.08)</f>
        <v>6366</v>
      </c>
      <c r="D53" s="4" t="s">
        <v>133</v>
      </c>
      <c r="E53" s="5">
        <f>INT((150*23+9460)*1.08)</f>
        <v>13942</v>
      </c>
    </row>
    <row r="54" spans="1:5" x14ac:dyDescent="0.2">
      <c r="A54" s="4" t="s">
        <v>134</v>
      </c>
      <c r="B54" s="5">
        <f>INT((115*30+2560)*1.08)</f>
        <v>6490</v>
      </c>
      <c r="D54" s="4" t="s">
        <v>135</v>
      </c>
      <c r="E54" s="5">
        <f>INT((150*24+9460)*1.08)</f>
        <v>14104</v>
      </c>
    </row>
    <row r="55" spans="1:5" x14ac:dyDescent="0.2">
      <c r="A55" s="4" t="s">
        <v>136</v>
      </c>
      <c r="B55" s="5">
        <f>INT((115*31+2560)*1.08)</f>
        <v>6615</v>
      </c>
      <c r="D55" s="4" t="s">
        <v>137</v>
      </c>
      <c r="E55" s="5">
        <f>INT((150*25+9460)*1.08)</f>
        <v>14266</v>
      </c>
    </row>
    <row r="56" spans="1:5" x14ac:dyDescent="0.2">
      <c r="A56" s="4" t="s">
        <v>138</v>
      </c>
      <c r="B56" s="5">
        <f>INT((115*32+2560)*1.08)</f>
        <v>6739</v>
      </c>
      <c r="D56" s="4" t="s">
        <v>139</v>
      </c>
      <c r="E56" s="5">
        <f>INT((150*26+9460)*1.08)</f>
        <v>14428</v>
      </c>
    </row>
    <row r="57" spans="1:5" x14ac:dyDescent="0.2">
      <c r="A57" s="4" t="s">
        <v>140</v>
      </c>
      <c r="B57" s="5">
        <f>INT((115*33+2560)*1.08)</f>
        <v>6863</v>
      </c>
      <c r="D57" s="4" t="s">
        <v>141</v>
      </c>
      <c r="E57" s="5">
        <f>INT((150*27+9460)*1.08)</f>
        <v>14590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9"/>
  <sheetViews>
    <sheetView zoomScaleNormal="100" workbookViewId="0">
      <selection activeCell="H4" sqref="H4:H33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8" t="s">
        <v>0</v>
      </c>
      <c r="B1" s="28"/>
      <c r="H1" s="1" t="s">
        <v>143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INT(1060*1.1)</f>
        <v>1166</v>
      </c>
      <c r="D4" s="4" t="s">
        <v>5</v>
      </c>
      <c r="E4" s="5">
        <f>INT((115*34+2560)*1.1)</f>
        <v>7117</v>
      </c>
      <c r="G4" s="4" t="s">
        <v>6</v>
      </c>
      <c r="H4" s="5">
        <f>INT((150*28+9460)*1.1)</f>
        <v>15026</v>
      </c>
    </row>
    <row r="5" spans="1:8" x14ac:dyDescent="0.2">
      <c r="A5" s="4" t="s">
        <v>7</v>
      </c>
      <c r="B5" s="5">
        <f>INT((75+1060)*1.1)</f>
        <v>1248</v>
      </c>
      <c r="D5" s="4" t="s">
        <v>8</v>
      </c>
      <c r="E5" s="5">
        <f>INT((115*35+2560)*1.1)</f>
        <v>7243</v>
      </c>
      <c r="G5" s="4" t="s">
        <v>9</v>
      </c>
      <c r="H5" s="5">
        <f>INT((150*29+9460)*1.1)</f>
        <v>15191</v>
      </c>
    </row>
    <row r="6" spans="1:8" x14ac:dyDescent="0.2">
      <c r="A6" s="4" t="s">
        <v>10</v>
      </c>
      <c r="B6" s="5">
        <f>INT((75*2+1060)*1.1)</f>
        <v>1331</v>
      </c>
      <c r="D6" s="4" t="s">
        <v>11</v>
      </c>
      <c r="E6" s="5">
        <f>INT((115*36+2560)*1.1)</f>
        <v>7370</v>
      </c>
      <c r="G6" s="4" t="s">
        <v>12</v>
      </c>
      <c r="H6" s="5">
        <f>INT((150*30+9460)*1.1)</f>
        <v>15356</v>
      </c>
    </row>
    <row r="7" spans="1:8" x14ac:dyDescent="0.2">
      <c r="A7" s="4" t="s">
        <v>13</v>
      </c>
      <c r="B7" s="5">
        <f>INT((75*3+1060)*1.1)</f>
        <v>1413</v>
      </c>
      <c r="D7" s="4" t="s">
        <v>14</v>
      </c>
      <c r="E7" s="5">
        <f>INT((115*37+2560)*1.1)</f>
        <v>7496</v>
      </c>
      <c r="G7" s="4" t="s">
        <v>15</v>
      </c>
      <c r="H7" s="5">
        <f>INT((150*31+9460)*1.1)</f>
        <v>15521</v>
      </c>
    </row>
    <row r="8" spans="1:8" x14ac:dyDescent="0.2">
      <c r="A8" s="4" t="s">
        <v>16</v>
      </c>
      <c r="B8" s="5">
        <f>INT((75*4+1060)*1.1)</f>
        <v>1496</v>
      </c>
      <c r="D8" s="4" t="s">
        <v>17</v>
      </c>
      <c r="E8" s="5">
        <f>INT((115*38+2560)*1.1)</f>
        <v>7623</v>
      </c>
      <c r="G8" s="4" t="s">
        <v>18</v>
      </c>
      <c r="H8" s="5">
        <f>INT((150*32+9460)*1.1)</f>
        <v>15686</v>
      </c>
    </row>
    <row r="9" spans="1:8" x14ac:dyDescent="0.2">
      <c r="A9" s="4" t="s">
        <v>19</v>
      </c>
      <c r="B9" s="5">
        <f>INT((75*5+1060)*1.1)</f>
        <v>1578</v>
      </c>
      <c r="D9" s="4" t="s">
        <v>20</v>
      </c>
      <c r="E9" s="5">
        <f>INT((115*39+2560)*1.1)</f>
        <v>7749</v>
      </c>
      <c r="G9" s="4" t="s">
        <v>21</v>
      </c>
      <c r="H9" s="5">
        <f>INT((150*33+9460)*1.1)</f>
        <v>15851</v>
      </c>
    </row>
    <row r="10" spans="1:8" x14ac:dyDescent="0.2">
      <c r="A10" s="4" t="s">
        <v>22</v>
      </c>
      <c r="B10" s="5">
        <f>INT((75*6+1060)*1.1)</f>
        <v>1661</v>
      </c>
      <c r="D10" s="4" t="s">
        <v>23</v>
      </c>
      <c r="E10" s="5">
        <f>INT((115*40+2560)*1.1)</f>
        <v>7876</v>
      </c>
      <c r="G10" s="4" t="s">
        <v>24</v>
      </c>
      <c r="H10" s="5">
        <f>INT((150*34+9460)*1.1)</f>
        <v>16016</v>
      </c>
    </row>
    <row r="11" spans="1:8" x14ac:dyDescent="0.2">
      <c r="A11" s="4" t="s">
        <v>25</v>
      </c>
      <c r="B11" s="5">
        <f>INT((75*7+1060)*1.1)</f>
        <v>1743</v>
      </c>
      <c r="D11" s="4" t="s">
        <v>26</v>
      </c>
      <c r="E11" s="5">
        <f>INT((115*41+2560)*1.1)</f>
        <v>8002</v>
      </c>
      <c r="G11" s="4" t="s">
        <v>27</v>
      </c>
      <c r="H11" s="5">
        <f>INT((150*35+9460)*1.1)</f>
        <v>16181</v>
      </c>
    </row>
    <row r="12" spans="1:8" x14ac:dyDescent="0.2">
      <c r="A12" s="4" t="s">
        <v>28</v>
      </c>
      <c r="B12" s="5">
        <f>INT((75*8+1060)*1.1)</f>
        <v>1826</v>
      </c>
      <c r="D12" s="4" t="s">
        <v>29</v>
      </c>
      <c r="E12" s="5">
        <f>INT((115*42+2560)*1.1)</f>
        <v>8129</v>
      </c>
      <c r="G12" s="4" t="s">
        <v>30</v>
      </c>
      <c r="H12" s="5">
        <f>INT((150*36+9460)*1.1)</f>
        <v>16346</v>
      </c>
    </row>
    <row r="13" spans="1:8" x14ac:dyDescent="0.2">
      <c r="A13" s="4" t="s">
        <v>31</v>
      </c>
      <c r="B13" s="5">
        <f>INT((75*9+1060)*1.1)</f>
        <v>1908</v>
      </c>
      <c r="D13" s="4" t="s">
        <v>32</v>
      </c>
      <c r="E13" s="5">
        <f>INT((115*43+2560)*1.1)</f>
        <v>8255</v>
      </c>
      <c r="G13" s="4" t="s">
        <v>33</v>
      </c>
      <c r="H13" s="5">
        <f>INT((150*37+9460)*1.1)</f>
        <v>16511</v>
      </c>
    </row>
    <row r="14" spans="1:8" x14ac:dyDescent="0.2">
      <c r="A14" s="4" t="s">
        <v>34</v>
      </c>
      <c r="B14" s="5">
        <f>INT((75*10+1060)*1.1)</f>
        <v>1991</v>
      </c>
      <c r="D14" s="4" t="s">
        <v>35</v>
      </c>
      <c r="E14" s="5">
        <f>INT((115*44+2560)*1.1)</f>
        <v>8382</v>
      </c>
      <c r="G14" s="4" t="s">
        <v>36</v>
      </c>
      <c r="H14" s="5">
        <f>INT((150*38+9460)*1.1)</f>
        <v>16676</v>
      </c>
    </row>
    <row r="15" spans="1:8" x14ac:dyDescent="0.2">
      <c r="A15" s="4" t="s">
        <v>37</v>
      </c>
      <c r="B15" s="5">
        <f>INT((75*11+1060)*1.1)</f>
        <v>2073</v>
      </c>
      <c r="D15" s="4" t="s">
        <v>38</v>
      </c>
      <c r="E15" s="5">
        <f>INT((115*45+2560)*1.1)</f>
        <v>8508</v>
      </c>
      <c r="G15" s="4" t="s">
        <v>39</v>
      </c>
      <c r="H15" s="5">
        <f>INT((150*39+9460)*1.1)</f>
        <v>16841</v>
      </c>
    </row>
    <row r="16" spans="1:8" x14ac:dyDescent="0.2">
      <c r="A16" s="4" t="s">
        <v>40</v>
      </c>
      <c r="B16" s="5">
        <f>INT((75*12+1060)*1.1)</f>
        <v>2156</v>
      </c>
      <c r="D16" s="4" t="s">
        <v>41</v>
      </c>
      <c r="E16" s="5">
        <f>INT((115*46+2560)*1.1)</f>
        <v>8635</v>
      </c>
      <c r="G16" s="4" t="s">
        <v>42</v>
      </c>
      <c r="H16" s="5">
        <f>INT((150*40+9460)*1.1)</f>
        <v>17006</v>
      </c>
    </row>
    <row r="17" spans="1:8" x14ac:dyDescent="0.2">
      <c r="A17" s="4" t="s">
        <v>43</v>
      </c>
      <c r="B17" s="5">
        <f>INT((75*13+1060)*1.1)</f>
        <v>2238</v>
      </c>
      <c r="D17" s="4" t="s">
        <v>44</v>
      </c>
      <c r="E17" s="5">
        <f>INT((115*47+2560)*1.1)</f>
        <v>8761</v>
      </c>
      <c r="G17" s="4" t="s">
        <v>45</v>
      </c>
      <c r="H17" s="5">
        <f>INT((150*41+9460)*1.1)</f>
        <v>17171</v>
      </c>
    </row>
    <row r="18" spans="1:8" x14ac:dyDescent="0.2">
      <c r="A18" s="4" t="s">
        <v>46</v>
      </c>
      <c r="B18" s="5">
        <f>INT((75*14+1060)*1.1)</f>
        <v>2321</v>
      </c>
      <c r="D18" s="4" t="s">
        <v>47</v>
      </c>
      <c r="E18" s="5">
        <f>INT((115*48+2560)*1.1)</f>
        <v>8888</v>
      </c>
      <c r="G18" s="4" t="s">
        <v>48</v>
      </c>
      <c r="H18" s="5">
        <f>INT((150*42+9460)*1.1)</f>
        <v>17336</v>
      </c>
    </row>
    <row r="19" spans="1:8" x14ac:dyDescent="0.2">
      <c r="A19" s="4" t="s">
        <v>49</v>
      </c>
      <c r="B19" s="5">
        <f>INT((75*15+1060)*1.1)</f>
        <v>2403</v>
      </c>
      <c r="D19" s="4" t="s">
        <v>50</v>
      </c>
      <c r="E19" s="5">
        <f>INT((115*49+2560)*1.1)</f>
        <v>9014</v>
      </c>
      <c r="G19" s="4" t="s">
        <v>51</v>
      </c>
      <c r="H19" s="5">
        <f>INT((150*43+9460)*1.1)</f>
        <v>17501</v>
      </c>
    </row>
    <row r="20" spans="1:8" x14ac:dyDescent="0.2">
      <c r="A20" s="4" t="s">
        <v>52</v>
      </c>
      <c r="B20" s="5">
        <f>INT((75*16+1060)*1.1)</f>
        <v>2486</v>
      </c>
      <c r="D20" s="4" t="s">
        <v>53</v>
      </c>
      <c r="E20" s="5">
        <f>INT((115*50+2560)*1.1)</f>
        <v>9141</v>
      </c>
      <c r="G20" s="4" t="s">
        <v>54</v>
      </c>
      <c r="H20" s="5">
        <f>INT((150*44+9460)*1.1)</f>
        <v>17666</v>
      </c>
    </row>
    <row r="21" spans="1:8" x14ac:dyDescent="0.2">
      <c r="A21" s="4" t="s">
        <v>55</v>
      </c>
      <c r="B21" s="5">
        <f>INT((75*17+1060)*1.1)</f>
        <v>2568</v>
      </c>
      <c r="D21" s="4" t="s">
        <v>56</v>
      </c>
      <c r="E21" s="5">
        <f>INT((115*51+2560)*1.1)</f>
        <v>9267</v>
      </c>
      <c r="G21" s="4" t="s">
        <v>57</v>
      </c>
      <c r="H21" s="5">
        <f>INT((150*45+9460)*1.1)</f>
        <v>17831</v>
      </c>
    </row>
    <row r="22" spans="1:8" x14ac:dyDescent="0.2">
      <c r="A22" s="4" t="s">
        <v>58</v>
      </c>
      <c r="B22" s="5">
        <f>INT((75*18+1060)*1.1)</f>
        <v>2651</v>
      </c>
      <c r="D22" s="4" t="s">
        <v>59</v>
      </c>
      <c r="E22" s="5">
        <f>INT((115*52+2560)*1.1)</f>
        <v>9394</v>
      </c>
      <c r="G22" s="4" t="s">
        <v>60</v>
      </c>
      <c r="H22" s="5">
        <f>INT((150*46+9460)*1.1)</f>
        <v>17996</v>
      </c>
    </row>
    <row r="23" spans="1:8" x14ac:dyDescent="0.2">
      <c r="A23" s="4" t="s">
        <v>61</v>
      </c>
      <c r="B23" s="5">
        <f>INT((75*19+1060)*1.1)</f>
        <v>2733</v>
      </c>
      <c r="D23" s="4" t="s">
        <v>62</v>
      </c>
      <c r="E23" s="5">
        <f>INT((115*53+2560)*1.1)</f>
        <v>9520</v>
      </c>
      <c r="G23" s="4" t="s">
        <v>63</v>
      </c>
      <c r="H23" s="5">
        <f>INT((150*47+9460)*1.1)</f>
        <v>18161</v>
      </c>
    </row>
    <row r="24" spans="1:8" x14ac:dyDescent="0.2">
      <c r="A24" s="4" t="s">
        <v>64</v>
      </c>
      <c r="B24" s="5">
        <f>INT((75*20+1060)*1.1)</f>
        <v>2816</v>
      </c>
      <c r="D24" s="4" t="s">
        <v>65</v>
      </c>
      <c r="E24" s="5">
        <f>INT((115*54+2560)*1.1)</f>
        <v>9647</v>
      </c>
      <c r="G24" s="4" t="s">
        <v>66</v>
      </c>
      <c r="H24" s="5">
        <f>INT((150*48+9460)*1.1)</f>
        <v>18326</v>
      </c>
    </row>
    <row r="25" spans="1:8" x14ac:dyDescent="0.2">
      <c r="A25" s="4" t="s">
        <v>67</v>
      </c>
      <c r="B25" s="5">
        <f>INT((115+2560)*1.1)</f>
        <v>2942</v>
      </c>
      <c r="D25" s="4" t="s">
        <v>68</v>
      </c>
      <c r="E25" s="5">
        <f>INT((115*55+2560)*1.1)</f>
        <v>9773</v>
      </c>
      <c r="G25" s="4" t="s">
        <v>69</v>
      </c>
      <c r="H25" s="5">
        <f>INT((150*49+9460)*1.1)</f>
        <v>18491</v>
      </c>
    </row>
    <row r="26" spans="1:8" x14ac:dyDescent="0.2">
      <c r="A26" s="4" t="s">
        <v>70</v>
      </c>
      <c r="B26" s="5">
        <f>INT((115*2+2560)*1.1)</f>
        <v>3069</v>
      </c>
      <c r="D26" s="4" t="s">
        <v>71</v>
      </c>
      <c r="E26" s="5">
        <f>INT((115*56+2560)*1.1)</f>
        <v>9900</v>
      </c>
      <c r="G26" s="4" t="s">
        <v>72</v>
      </c>
      <c r="H26" s="5">
        <f>INT((150*50+9460)*1.1)</f>
        <v>18656</v>
      </c>
    </row>
    <row r="27" spans="1:8" x14ac:dyDescent="0.2">
      <c r="A27" s="4" t="s">
        <v>73</v>
      </c>
      <c r="B27" s="5">
        <f>INT((115*3+2560)*1.1)</f>
        <v>3195</v>
      </c>
      <c r="D27" s="4" t="s">
        <v>74</v>
      </c>
      <c r="E27" s="5">
        <f>INT((115*57+2560)*1.1)</f>
        <v>10026</v>
      </c>
      <c r="G27" s="4" t="s">
        <v>75</v>
      </c>
      <c r="H27" s="5">
        <f>INT((150*100+9460)*1.1)</f>
        <v>26906</v>
      </c>
    </row>
    <row r="28" spans="1:8" x14ac:dyDescent="0.2">
      <c r="A28" s="4" t="s">
        <v>76</v>
      </c>
      <c r="B28" s="5">
        <f>INT((115*4+2560)*1.1)</f>
        <v>3322</v>
      </c>
      <c r="D28" s="4" t="s">
        <v>77</v>
      </c>
      <c r="E28" s="5">
        <f>INT((115*58+2560)*1.1)</f>
        <v>10153</v>
      </c>
      <c r="G28" s="4" t="s">
        <v>78</v>
      </c>
      <c r="H28" s="5">
        <f>INT((200*100+24460)*1.1)</f>
        <v>48906</v>
      </c>
    </row>
    <row r="29" spans="1:8" x14ac:dyDescent="0.2">
      <c r="A29" s="4" t="s">
        <v>79</v>
      </c>
      <c r="B29" s="5">
        <f>INT((115*5+2560)*1.1)</f>
        <v>3448</v>
      </c>
      <c r="D29" s="4" t="s">
        <v>80</v>
      </c>
      <c r="E29" s="5">
        <f>INT((115*59+2560)*1.1)</f>
        <v>10279</v>
      </c>
      <c r="G29" s="4" t="s">
        <v>81</v>
      </c>
      <c r="H29" s="5">
        <f>INT((200*200+24460)*1.1)</f>
        <v>70906</v>
      </c>
    </row>
    <row r="30" spans="1:8" x14ac:dyDescent="0.2">
      <c r="A30" s="4" t="s">
        <v>82</v>
      </c>
      <c r="B30" s="5">
        <f>INT((115*6+2560)*1.1)</f>
        <v>3575</v>
      </c>
      <c r="D30" s="4" t="s">
        <v>83</v>
      </c>
      <c r="E30" s="5">
        <f>INT((115*60+2560)*1.1)</f>
        <v>10406</v>
      </c>
      <c r="G30" s="4" t="s">
        <v>84</v>
      </c>
      <c r="H30" s="5">
        <f>INT((245*100+64460)*1.1)</f>
        <v>97856</v>
      </c>
    </row>
    <row r="31" spans="1:8" x14ac:dyDescent="0.2">
      <c r="A31" s="4" t="s">
        <v>85</v>
      </c>
      <c r="B31" s="5">
        <f>INT((115*7+2560)*1.1)</f>
        <v>3701</v>
      </c>
      <c r="D31" s="4" t="s">
        <v>86</v>
      </c>
      <c r="E31" s="5">
        <f>INT((150+9460)*1.1)</f>
        <v>10571</v>
      </c>
      <c r="G31" s="4" t="s">
        <v>87</v>
      </c>
      <c r="H31" s="5">
        <f>INT((245*600+64460)*1.1)</f>
        <v>232606</v>
      </c>
    </row>
    <row r="32" spans="1:8" x14ac:dyDescent="0.2">
      <c r="A32" s="4" t="s">
        <v>88</v>
      </c>
      <c r="B32" s="5">
        <f>INT((115*8+2560)*1.1)</f>
        <v>3828</v>
      </c>
      <c r="D32" s="4" t="s">
        <v>89</v>
      </c>
      <c r="E32" s="5">
        <f>INT((150*2+9460)*1.1)</f>
        <v>10736</v>
      </c>
      <c r="G32" s="4" t="s">
        <v>90</v>
      </c>
      <c r="H32" s="5">
        <f>INT((285*1000+211460)*1.1)</f>
        <v>546106</v>
      </c>
    </row>
    <row r="33" spans="1:8" x14ac:dyDescent="0.2">
      <c r="A33" s="4" t="s">
        <v>91</v>
      </c>
      <c r="B33" s="5">
        <f>INT((115*9+2560)*1.1)</f>
        <v>3954</v>
      </c>
      <c r="D33" s="4" t="s">
        <v>92</v>
      </c>
      <c r="E33" s="5">
        <f>INT((150*3+9460)*1.1)</f>
        <v>10901</v>
      </c>
      <c r="G33" s="4" t="s">
        <v>93</v>
      </c>
      <c r="H33" s="5">
        <f>INT((325*1000+496460)*1.1)</f>
        <v>903606</v>
      </c>
    </row>
    <row r="34" spans="1:8" x14ac:dyDescent="0.2">
      <c r="A34" s="4" t="s">
        <v>94</v>
      </c>
      <c r="B34" s="5">
        <f>INT((115*10+2560)*1.1)</f>
        <v>4081</v>
      </c>
      <c r="D34" s="4" t="s">
        <v>95</v>
      </c>
      <c r="E34" s="5">
        <f>INT((150*4+9460)*1.1)</f>
        <v>11066</v>
      </c>
    </row>
    <row r="35" spans="1:8" x14ac:dyDescent="0.2">
      <c r="A35" s="4" t="s">
        <v>96</v>
      </c>
      <c r="B35" s="5">
        <f>INT((115*11+2560)*1.1)</f>
        <v>4207</v>
      </c>
      <c r="D35" s="4" t="s">
        <v>97</v>
      </c>
      <c r="E35" s="5">
        <f>INT((150*5+9460)*1.1)</f>
        <v>11231</v>
      </c>
    </row>
    <row r="36" spans="1:8" x14ac:dyDescent="0.2">
      <c r="A36" s="4" t="s">
        <v>98</v>
      </c>
      <c r="B36" s="5">
        <f>INT((115*12+2560)*1.1)</f>
        <v>4334</v>
      </c>
      <c r="D36" s="4" t="s">
        <v>99</v>
      </c>
      <c r="E36" s="5">
        <f>INT((150*6+9460)*1.1)</f>
        <v>11396</v>
      </c>
    </row>
    <row r="37" spans="1:8" x14ac:dyDescent="0.2">
      <c r="A37" s="4" t="s">
        <v>100</v>
      </c>
      <c r="B37" s="5">
        <f>INT((115*13+2560)*1.1)</f>
        <v>4460</v>
      </c>
      <c r="D37" s="4" t="s">
        <v>101</v>
      </c>
      <c r="E37" s="5">
        <f>INT((150*7+9460)*1.1)</f>
        <v>11561</v>
      </c>
    </row>
    <row r="38" spans="1:8" x14ac:dyDescent="0.2">
      <c r="A38" s="4" t="s">
        <v>102</v>
      </c>
      <c r="B38" s="5">
        <f>INT((115*14+2560)*1.1)</f>
        <v>4587</v>
      </c>
      <c r="D38" s="4" t="s">
        <v>103</v>
      </c>
      <c r="E38" s="5">
        <f>INT((150*8+9460)*1.1)</f>
        <v>11726</v>
      </c>
    </row>
    <row r="39" spans="1:8" x14ac:dyDescent="0.2">
      <c r="A39" s="4" t="s">
        <v>104</v>
      </c>
      <c r="B39" s="5">
        <f>INT((115*15+2560)*1.1)</f>
        <v>4713</v>
      </c>
      <c r="D39" s="4" t="s">
        <v>105</v>
      </c>
      <c r="E39" s="5">
        <f>INT((150*9+9460)*1.1)</f>
        <v>11891</v>
      </c>
    </row>
    <row r="40" spans="1:8" x14ac:dyDescent="0.2">
      <c r="A40" s="4" t="s">
        <v>106</v>
      </c>
      <c r="B40" s="5">
        <f>INT((115*16+2560)*1.1)</f>
        <v>4840</v>
      </c>
      <c r="D40" s="4" t="s">
        <v>107</v>
      </c>
      <c r="E40" s="5">
        <f>INT((150*10+9460)*1.1)</f>
        <v>12056</v>
      </c>
    </row>
    <row r="41" spans="1:8" x14ac:dyDescent="0.2">
      <c r="A41" s="4" t="s">
        <v>108</v>
      </c>
      <c r="B41" s="5">
        <f>INT((115*17+2560)*1.1)</f>
        <v>4966</v>
      </c>
      <c r="D41" s="4" t="s">
        <v>109</v>
      </c>
      <c r="E41" s="5">
        <f>INT((150*11+9460)*1.1)</f>
        <v>12221</v>
      </c>
    </row>
    <row r="42" spans="1:8" x14ac:dyDescent="0.2">
      <c r="A42" s="4" t="s">
        <v>110</v>
      </c>
      <c r="B42" s="5">
        <f>INT((115*18+2560)*1.1)</f>
        <v>5093</v>
      </c>
      <c r="D42" s="4" t="s">
        <v>111</v>
      </c>
      <c r="E42" s="5">
        <f>INT((150*12+9460)*1.1)</f>
        <v>12386</v>
      </c>
    </row>
    <row r="43" spans="1:8" x14ac:dyDescent="0.2">
      <c r="A43" s="4" t="s">
        <v>112</v>
      </c>
      <c r="B43" s="5">
        <f>INT((115*19+2560)*1.1)</f>
        <v>5219</v>
      </c>
      <c r="D43" s="4" t="s">
        <v>113</v>
      </c>
      <c r="E43" s="5">
        <f>INT((150*13+9460)*1.1)</f>
        <v>12551</v>
      </c>
    </row>
    <row r="44" spans="1:8" x14ac:dyDescent="0.2">
      <c r="A44" s="4" t="s">
        <v>114</v>
      </c>
      <c r="B44" s="5">
        <f>INT((115*20+2560)*1.1)</f>
        <v>5346</v>
      </c>
      <c r="D44" s="4" t="s">
        <v>115</v>
      </c>
      <c r="E44" s="5">
        <f>INT((150*14+9460)*1.1)</f>
        <v>12716</v>
      </c>
    </row>
    <row r="45" spans="1:8" x14ac:dyDescent="0.2">
      <c r="A45" s="4" t="s">
        <v>116</v>
      </c>
      <c r="B45" s="5">
        <f>INT((115*21+2560)*1.1)</f>
        <v>5472</v>
      </c>
      <c r="D45" s="4" t="s">
        <v>117</v>
      </c>
      <c r="E45" s="5">
        <f>INT((150*15+9460)*1.1)</f>
        <v>12881</v>
      </c>
    </row>
    <row r="46" spans="1:8" x14ac:dyDescent="0.2">
      <c r="A46" s="4" t="s">
        <v>118</v>
      </c>
      <c r="B46" s="5">
        <f>INT((115*22+2560)*1.1)</f>
        <v>5599</v>
      </c>
      <c r="D46" s="4" t="s">
        <v>119</v>
      </c>
      <c r="E46" s="5">
        <f>INT((150*16+9460)*1.1)</f>
        <v>13046</v>
      </c>
    </row>
    <row r="47" spans="1:8" x14ac:dyDescent="0.2">
      <c r="A47" s="4" t="s">
        <v>120</v>
      </c>
      <c r="B47" s="5">
        <f>INT((115*23+2560)*1.1)</f>
        <v>5725</v>
      </c>
      <c r="D47" s="4" t="s">
        <v>121</v>
      </c>
      <c r="E47" s="5">
        <f>INT((150*17+9460)*1.1)</f>
        <v>13211</v>
      </c>
    </row>
    <row r="48" spans="1:8" x14ac:dyDescent="0.2">
      <c r="A48" s="4" t="s">
        <v>122</v>
      </c>
      <c r="B48" s="5">
        <f>INT((115*24+2560)*1.1)</f>
        <v>5852</v>
      </c>
      <c r="D48" s="4" t="s">
        <v>123</v>
      </c>
      <c r="E48" s="5">
        <f>INT((150*18+9460)*1.1)</f>
        <v>13376</v>
      </c>
    </row>
    <row r="49" spans="1:5" x14ac:dyDescent="0.2">
      <c r="A49" s="4" t="s">
        <v>124</v>
      </c>
      <c r="B49" s="5">
        <f>INT((115*25+2560)*1.1)</f>
        <v>5978</v>
      </c>
      <c r="D49" s="4" t="s">
        <v>125</v>
      </c>
      <c r="E49" s="5">
        <f>INT((150*19+9460)*1.1)</f>
        <v>13541</v>
      </c>
    </row>
    <row r="50" spans="1:5" x14ac:dyDescent="0.2">
      <c r="A50" s="4" t="s">
        <v>126</v>
      </c>
      <c r="B50" s="5">
        <f>INT((115*26+2560)*1.1)</f>
        <v>6105</v>
      </c>
      <c r="D50" s="4" t="s">
        <v>127</v>
      </c>
      <c r="E50" s="5">
        <f>INT((150*20+9460)*1.1)</f>
        <v>13706</v>
      </c>
    </row>
    <row r="51" spans="1:5" x14ac:dyDescent="0.2">
      <c r="A51" s="4" t="s">
        <v>128</v>
      </c>
      <c r="B51" s="5">
        <f>INT((115*27+2560)*1.1)</f>
        <v>6231</v>
      </c>
      <c r="D51" s="4" t="s">
        <v>129</v>
      </c>
      <c r="E51" s="5">
        <f>INT((150*21+9460)*1.1)</f>
        <v>13871</v>
      </c>
    </row>
    <row r="52" spans="1:5" x14ac:dyDescent="0.2">
      <c r="A52" s="4" t="s">
        <v>130</v>
      </c>
      <c r="B52" s="5">
        <f>INT((115*28+2560)*1.1)</f>
        <v>6358</v>
      </c>
      <c r="D52" s="4" t="s">
        <v>131</v>
      </c>
      <c r="E52" s="5">
        <f>INT((150*22+9460)*1.1)</f>
        <v>14036</v>
      </c>
    </row>
    <row r="53" spans="1:5" x14ac:dyDescent="0.2">
      <c r="A53" s="4" t="s">
        <v>132</v>
      </c>
      <c r="B53" s="5">
        <f>INT((115*29+2560)*1.1)</f>
        <v>6484</v>
      </c>
      <c r="D53" s="4" t="s">
        <v>133</v>
      </c>
      <c r="E53" s="5">
        <f>INT((150*23+9460)*1.1)</f>
        <v>14201</v>
      </c>
    </row>
    <row r="54" spans="1:5" x14ac:dyDescent="0.2">
      <c r="A54" s="4" t="s">
        <v>134</v>
      </c>
      <c r="B54" s="5">
        <f>INT((115*30+2560)*1.1)</f>
        <v>6611</v>
      </c>
      <c r="D54" s="4" t="s">
        <v>135</v>
      </c>
      <c r="E54" s="5">
        <f>INT((150*24+9460)*1.1)</f>
        <v>14366</v>
      </c>
    </row>
    <row r="55" spans="1:5" x14ac:dyDescent="0.2">
      <c r="A55" s="4" t="s">
        <v>136</v>
      </c>
      <c r="B55" s="5">
        <f>INT((115*31+2560)*1.1)</f>
        <v>6737</v>
      </c>
      <c r="D55" s="4" t="s">
        <v>137</v>
      </c>
      <c r="E55" s="5">
        <f>INT((150*25+9460)*1.1)</f>
        <v>14531</v>
      </c>
    </row>
    <row r="56" spans="1:5" x14ac:dyDescent="0.2">
      <c r="A56" s="4" t="s">
        <v>138</v>
      </c>
      <c r="B56" s="5">
        <f>INT((115*32+2560)*1.1)</f>
        <v>6864</v>
      </c>
      <c r="D56" s="4" t="s">
        <v>139</v>
      </c>
      <c r="E56" s="5">
        <f>INT((150*26+9460)*1.1)</f>
        <v>14696</v>
      </c>
    </row>
    <row r="57" spans="1:5" x14ac:dyDescent="0.2">
      <c r="A57" s="4" t="s">
        <v>140</v>
      </c>
      <c r="B57" s="5">
        <f>INT((115*33+2560)*1.1)</f>
        <v>6990</v>
      </c>
      <c r="D57" s="4" t="s">
        <v>141</v>
      </c>
      <c r="E57" s="5">
        <f>INT((150*27+9460)*1.1)</f>
        <v>14861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3BA6-D37D-400B-A490-658CBF96844E}">
  <sheetPr>
    <pageSetUpPr fitToPage="1"/>
  </sheetPr>
  <dimension ref="A1:K58"/>
  <sheetViews>
    <sheetView tabSelected="1" view="pageBreakPreview" zoomScaleNormal="85" zoomScaleSheetLayoutView="100" workbookViewId="0">
      <selection activeCell="H17" sqref="H17"/>
    </sheetView>
  </sheetViews>
  <sheetFormatPr defaultColWidth="9" defaultRowHeight="13" x14ac:dyDescent="0.2"/>
  <cols>
    <col min="1" max="1" width="3.08984375" style="9" customWidth="1"/>
    <col min="2" max="2" width="25.08984375" style="7" customWidth="1"/>
    <col min="3" max="3" width="33.1796875" style="8" customWidth="1"/>
    <col min="4" max="4" width="8.36328125" style="9" customWidth="1"/>
    <col min="5" max="6" width="9" style="9"/>
    <col min="7" max="7" width="13.81640625" style="9" customWidth="1"/>
    <col min="8" max="8" width="16.1796875" style="9" customWidth="1"/>
    <col min="9" max="10" width="11.08984375" style="9" customWidth="1"/>
    <col min="11" max="11" width="40.1796875" style="9" customWidth="1"/>
    <col min="12" max="16384" width="9" style="9"/>
  </cols>
  <sheetData>
    <row r="1" spans="1:11" ht="16.5" x14ac:dyDescent="0.2">
      <c r="A1" s="6" t="s">
        <v>190</v>
      </c>
      <c r="E1" s="7"/>
    </row>
    <row r="2" spans="1:11" ht="16.5" x14ac:dyDescent="0.2">
      <c r="A2" s="6"/>
      <c r="B2" s="10" t="s">
        <v>188</v>
      </c>
      <c r="E2" s="7"/>
    </row>
    <row r="3" spans="1:11" x14ac:dyDescent="0.2">
      <c r="F3" s="9" t="s">
        <v>165</v>
      </c>
    </row>
    <row r="4" spans="1:11" ht="33.5" thickBot="1" x14ac:dyDescent="0.25">
      <c r="B4" s="11" t="s">
        <v>180</v>
      </c>
      <c r="C4" s="12" t="s">
        <v>182</v>
      </c>
      <c r="D4" s="13"/>
      <c r="F4" s="29" t="s">
        <v>144</v>
      </c>
      <c r="G4" s="30" t="s">
        <v>173</v>
      </c>
      <c r="H4" s="31"/>
      <c r="I4" s="34" t="s">
        <v>191</v>
      </c>
      <c r="J4" s="34"/>
      <c r="K4" s="29"/>
    </row>
    <row r="5" spans="1:11" ht="17" thickBot="1" x14ac:dyDescent="0.25">
      <c r="B5" s="26">
        <v>0</v>
      </c>
      <c r="C5" s="14">
        <f>ROUNDDOWN(IF(B5&lt;11,I6,IF(B5&lt;21,I6+(B5-10)*I7,IF(B5&lt;51,J7+(B5-20)*I8,IF(B5&lt;101,J8+(B5-50)*I9,IF(B5&lt;201,J9+(B5-100)*I10,IF(B5&lt;501,J10+(B5-200)*I11,IF(B5&lt;1001,J11+(B5-500)*I12,J12+(B5-1000)*I13)))))))*1.1,0)</f>
        <v>737</v>
      </c>
      <c r="F5" s="29"/>
      <c r="G5" s="32"/>
      <c r="H5" s="33"/>
      <c r="I5" s="25" t="s">
        <v>172</v>
      </c>
      <c r="J5" s="35" t="s">
        <v>157</v>
      </c>
      <c r="K5" s="36"/>
    </row>
    <row r="6" spans="1:11" x14ac:dyDescent="0.2">
      <c r="B6" s="10" t="s">
        <v>184</v>
      </c>
      <c r="F6" s="34" t="s">
        <v>145</v>
      </c>
      <c r="G6" s="24" t="s">
        <v>146</v>
      </c>
      <c r="H6" s="15" t="s">
        <v>147</v>
      </c>
      <c r="I6" s="16">
        <v>670</v>
      </c>
      <c r="J6" s="16"/>
      <c r="K6" s="17"/>
    </row>
    <row r="7" spans="1:11" x14ac:dyDescent="0.2">
      <c r="B7" s="10" t="s">
        <v>189</v>
      </c>
      <c r="F7" s="29"/>
      <c r="G7" s="34" t="s">
        <v>148</v>
      </c>
      <c r="H7" s="15" t="s">
        <v>149</v>
      </c>
      <c r="I7" s="16">
        <v>89</v>
      </c>
      <c r="J7" s="16">
        <f>I6+I7*10</f>
        <v>1560</v>
      </c>
      <c r="K7" s="17" t="s">
        <v>174</v>
      </c>
    </row>
    <row r="8" spans="1:11" x14ac:dyDescent="0.2">
      <c r="F8" s="29"/>
      <c r="G8" s="29"/>
      <c r="H8" s="15" t="s">
        <v>150</v>
      </c>
      <c r="I8" s="16">
        <v>129</v>
      </c>
      <c r="J8" s="16">
        <f>J7+I8*30</f>
        <v>5430</v>
      </c>
      <c r="K8" s="17" t="s">
        <v>178</v>
      </c>
    </row>
    <row r="9" spans="1:11" x14ac:dyDescent="0.2">
      <c r="F9" s="29"/>
      <c r="G9" s="29"/>
      <c r="H9" s="15" t="s">
        <v>151</v>
      </c>
      <c r="I9" s="16">
        <v>164</v>
      </c>
      <c r="J9" s="16">
        <f>J8+I9*50</f>
        <v>13630</v>
      </c>
      <c r="K9" s="17" t="s">
        <v>175</v>
      </c>
    </row>
    <row r="10" spans="1:11" x14ac:dyDescent="0.2">
      <c r="F10" s="29"/>
      <c r="G10" s="29"/>
      <c r="H10" s="15" t="s">
        <v>152</v>
      </c>
      <c r="I10" s="16">
        <v>214</v>
      </c>
      <c r="J10" s="16">
        <f>J9+I10*100</f>
        <v>35030</v>
      </c>
      <c r="K10" s="17" t="s">
        <v>176</v>
      </c>
    </row>
    <row r="11" spans="1:11" x14ac:dyDescent="0.2">
      <c r="F11" s="29"/>
      <c r="G11" s="29"/>
      <c r="H11" s="15" t="s">
        <v>153</v>
      </c>
      <c r="I11" s="16">
        <v>259</v>
      </c>
      <c r="J11" s="16">
        <f>J10+I11*300</f>
        <v>112730</v>
      </c>
      <c r="K11" s="17" t="s">
        <v>179</v>
      </c>
    </row>
    <row r="12" spans="1:11" x14ac:dyDescent="0.2">
      <c r="F12" s="29"/>
      <c r="G12" s="29"/>
      <c r="H12" s="15" t="s">
        <v>154</v>
      </c>
      <c r="I12" s="16">
        <v>299</v>
      </c>
      <c r="J12" s="16">
        <f>J11+I12*500</f>
        <v>262230</v>
      </c>
      <c r="K12" s="17" t="s">
        <v>177</v>
      </c>
    </row>
    <row r="13" spans="1:11" x14ac:dyDescent="0.2">
      <c r="B13" s="18"/>
      <c r="C13" s="19"/>
      <c r="F13" s="29"/>
      <c r="G13" s="29"/>
      <c r="H13" s="15" t="s">
        <v>155</v>
      </c>
      <c r="I13" s="16">
        <v>339</v>
      </c>
      <c r="J13" s="16"/>
      <c r="K13" s="16"/>
    </row>
    <row r="14" spans="1:11" x14ac:dyDescent="0.2">
      <c r="B14" s="18"/>
      <c r="C14" s="19"/>
      <c r="F14" s="20"/>
      <c r="G14" s="20"/>
      <c r="H14" s="21"/>
      <c r="I14" s="22"/>
      <c r="J14" s="22"/>
      <c r="K14" s="22"/>
    </row>
    <row r="15" spans="1:11" ht="33.5" thickBot="1" x14ac:dyDescent="0.25">
      <c r="B15" s="11" t="s">
        <v>181</v>
      </c>
      <c r="C15" s="12" t="s">
        <v>183</v>
      </c>
      <c r="F15" s="29" t="s">
        <v>144</v>
      </c>
      <c r="G15" s="30" t="s">
        <v>156</v>
      </c>
      <c r="H15" s="31"/>
      <c r="I15" s="34" t="s">
        <v>191</v>
      </c>
      <c r="J15" s="34"/>
      <c r="K15" s="29"/>
    </row>
    <row r="16" spans="1:11" ht="17" thickBot="1" x14ac:dyDescent="0.25">
      <c r="B16" s="27">
        <v>0</v>
      </c>
      <c r="C16" s="23">
        <f>ROUNDDOWN(IF(B16&lt;21,J17,IF(B16&lt;41,J17+(B16-20)*I18,IF(B16&lt;101,J18+(B16-40)*I19,IF(B16&lt;201,J19+(B16-100)*I20,IF(B16&lt;401,J20+(B16-200)*I21,IF(B16&lt;1001,J21+(B16-400)*I22,IF(B16&lt;2001,J22+(B16-1000)*I23,J23+(B16-2000)*I24)))))))*1.1,0)</f>
        <v>1474</v>
      </c>
      <c r="F16" s="29"/>
      <c r="G16" s="32"/>
      <c r="H16" s="33"/>
      <c r="I16" s="25" t="s">
        <v>172</v>
      </c>
      <c r="J16" s="35" t="s">
        <v>157</v>
      </c>
      <c r="K16" s="36"/>
    </row>
    <row r="17" spans="2:11" x14ac:dyDescent="0.2">
      <c r="B17" s="10" t="s">
        <v>185</v>
      </c>
      <c r="C17" s="19"/>
      <c r="F17" s="34" t="s">
        <v>145</v>
      </c>
      <c r="G17" s="24" t="s">
        <v>146</v>
      </c>
      <c r="H17" s="15" t="s">
        <v>158</v>
      </c>
      <c r="I17" s="16">
        <v>670</v>
      </c>
      <c r="J17" s="16">
        <f>I17*2</f>
        <v>1340</v>
      </c>
      <c r="K17" s="17" t="s">
        <v>186</v>
      </c>
    </row>
    <row r="18" spans="2:11" x14ac:dyDescent="0.2">
      <c r="B18" s="10" t="s">
        <v>187</v>
      </c>
      <c r="C18" s="19"/>
      <c r="F18" s="29"/>
      <c r="G18" s="34" t="s">
        <v>148</v>
      </c>
      <c r="H18" s="15" t="s">
        <v>160</v>
      </c>
      <c r="I18" s="16">
        <v>89</v>
      </c>
      <c r="J18" s="16">
        <f>I17*2+I18*20</f>
        <v>3120</v>
      </c>
      <c r="K18" s="17" t="s">
        <v>166</v>
      </c>
    </row>
    <row r="19" spans="2:11" x14ac:dyDescent="0.2">
      <c r="B19" s="18"/>
      <c r="C19" s="19"/>
      <c r="F19" s="29"/>
      <c r="G19" s="29"/>
      <c r="H19" s="15" t="s">
        <v>159</v>
      </c>
      <c r="I19" s="16">
        <v>129</v>
      </c>
      <c r="J19" s="16">
        <f>J18+I19*60</f>
        <v>10860</v>
      </c>
      <c r="K19" s="17" t="s">
        <v>167</v>
      </c>
    </row>
    <row r="20" spans="2:11" x14ac:dyDescent="0.2">
      <c r="B20" s="18"/>
      <c r="C20" s="19"/>
      <c r="F20" s="29"/>
      <c r="G20" s="29"/>
      <c r="H20" s="15" t="s">
        <v>152</v>
      </c>
      <c r="I20" s="16">
        <v>164</v>
      </c>
      <c r="J20" s="16">
        <f>J19+I20*100</f>
        <v>27260</v>
      </c>
      <c r="K20" s="17" t="s">
        <v>168</v>
      </c>
    </row>
    <row r="21" spans="2:11" x14ac:dyDescent="0.2">
      <c r="B21" s="18"/>
      <c r="C21" s="19"/>
      <c r="F21" s="29"/>
      <c r="G21" s="29"/>
      <c r="H21" s="15" t="s">
        <v>161</v>
      </c>
      <c r="I21" s="16">
        <v>214</v>
      </c>
      <c r="J21" s="16">
        <f>J20+I21*200</f>
        <v>70060</v>
      </c>
      <c r="K21" s="17" t="s">
        <v>169</v>
      </c>
    </row>
    <row r="22" spans="2:11" x14ac:dyDescent="0.2">
      <c r="B22" s="18"/>
      <c r="C22" s="19"/>
      <c r="F22" s="29"/>
      <c r="G22" s="29"/>
      <c r="H22" s="15" t="s">
        <v>162</v>
      </c>
      <c r="I22" s="16">
        <v>259</v>
      </c>
      <c r="J22" s="16">
        <f>J21+I22*600</f>
        <v>225460</v>
      </c>
      <c r="K22" s="17" t="s">
        <v>170</v>
      </c>
    </row>
    <row r="23" spans="2:11" x14ac:dyDescent="0.2">
      <c r="B23" s="18"/>
      <c r="C23" s="19"/>
      <c r="F23" s="29"/>
      <c r="G23" s="29"/>
      <c r="H23" s="15" t="s">
        <v>163</v>
      </c>
      <c r="I23" s="16">
        <v>299</v>
      </c>
      <c r="J23" s="16">
        <f>J22+I23*1000</f>
        <v>524460</v>
      </c>
      <c r="K23" s="17" t="s">
        <v>171</v>
      </c>
    </row>
    <row r="24" spans="2:11" x14ac:dyDescent="0.2">
      <c r="B24" s="18"/>
      <c r="C24" s="19"/>
      <c r="F24" s="29"/>
      <c r="G24" s="29"/>
      <c r="H24" s="15" t="s">
        <v>164</v>
      </c>
      <c r="I24" s="16">
        <v>339</v>
      </c>
      <c r="J24" s="16"/>
      <c r="K24" s="16"/>
    </row>
    <row r="25" spans="2:11" x14ac:dyDescent="0.2">
      <c r="B25" s="18"/>
      <c r="C25" s="19"/>
    </row>
    <row r="26" spans="2:11" x14ac:dyDescent="0.2">
      <c r="B26" s="18"/>
      <c r="C26" s="19"/>
    </row>
    <row r="27" spans="2:11" x14ac:dyDescent="0.2">
      <c r="B27" s="18"/>
      <c r="C27" s="19"/>
    </row>
    <row r="28" spans="2:11" x14ac:dyDescent="0.2">
      <c r="B28" s="18"/>
      <c r="C28" s="19"/>
    </row>
    <row r="29" spans="2:11" x14ac:dyDescent="0.2">
      <c r="B29" s="18"/>
      <c r="C29" s="19"/>
    </row>
    <row r="30" spans="2:11" x14ac:dyDescent="0.2">
      <c r="B30" s="18"/>
      <c r="C30" s="19"/>
    </row>
    <row r="31" spans="2:11" x14ac:dyDescent="0.2">
      <c r="B31" s="18"/>
      <c r="C31" s="19"/>
    </row>
    <row r="32" spans="2:11" x14ac:dyDescent="0.2">
      <c r="B32" s="18"/>
      <c r="C32" s="19"/>
    </row>
    <row r="33" spans="2:3" x14ac:dyDescent="0.2">
      <c r="B33" s="18"/>
      <c r="C33" s="19"/>
    </row>
    <row r="34" spans="2:3" x14ac:dyDescent="0.2">
      <c r="B34" s="18"/>
      <c r="C34" s="19"/>
    </row>
    <row r="35" spans="2:3" x14ac:dyDescent="0.2">
      <c r="B35" s="18"/>
      <c r="C35" s="19"/>
    </row>
    <row r="36" spans="2:3" x14ac:dyDescent="0.2">
      <c r="B36" s="18"/>
      <c r="C36" s="19"/>
    </row>
    <row r="37" spans="2:3" x14ac:dyDescent="0.2">
      <c r="B37" s="18"/>
      <c r="C37" s="19"/>
    </row>
    <row r="38" spans="2:3" x14ac:dyDescent="0.2">
      <c r="B38" s="18"/>
      <c r="C38" s="19"/>
    </row>
    <row r="39" spans="2:3" x14ac:dyDescent="0.2">
      <c r="B39" s="18"/>
      <c r="C39" s="19"/>
    </row>
    <row r="40" spans="2:3" x14ac:dyDescent="0.2">
      <c r="B40" s="18"/>
      <c r="C40" s="19"/>
    </row>
    <row r="41" spans="2:3" x14ac:dyDescent="0.2">
      <c r="B41" s="18"/>
      <c r="C41" s="19"/>
    </row>
    <row r="42" spans="2:3" x14ac:dyDescent="0.2">
      <c r="B42" s="18"/>
      <c r="C42" s="19"/>
    </row>
    <row r="43" spans="2:3" x14ac:dyDescent="0.2">
      <c r="B43" s="18"/>
      <c r="C43" s="19"/>
    </row>
    <row r="44" spans="2:3" x14ac:dyDescent="0.2">
      <c r="B44" s="18"/>
      <c r="C44" s="19"/>
    </row>
    <row r="45" spans="2:3" x14ac:dyDescent="0.2">
      <c r="B45" s="18"/>
      <c r="C45" s="19"/>
    </row>
    <row r="46" spans="2:3" x14ac:dyDescent="0.2">
      <c r="B46" s="18"/>
      <c r="C46" s="19"/>
    </row>
    <row r="47" spans="2:3" x14ac:dyDescent="0.2">
      <c r="B47" s="18"/>
      <c r="C47" s="19"/>
    </row>
    <row r="48" spans="2:3" x14ac:dyDescent="0.2">
      <c r="B48" s="18"/>
      <c r="C48" s="19"/>
    </row>
    <row r="49" spans="2:3" x14ac:dyDescent="0.2">
      <c r="B49" s="18"/>
      <c r="C49" s="19"/>
    </row>
    <row r="50" spans="2:3" x14ac:dyDescent="0.2">
      <c r="B50" s="18"/>
      <c r="C50" s="19"/>
    </row>
    <row r="51" spans="2:3" x14ac:dyDescent="0.2">
      <c r="B51" s="18"/>
      <c r="C51" s="19"/>
    </row>
    <row r="52" spans="2:3" x14ac:dyDescent="0.2">
      <c r="B52" s="18"/>
      <c r="C52" s="19"/>
    </row>
    <row r="53" spans="2:3" x14ac:dyDescent="0.2">
      <c r="B53" s="18"/>
      <c r="C53" s="19"/>
    </row>
    <row r="54" spans="2:3" x14ac:dyDescent="0.2">
      <c r="B54" s="18"/>
      <c r="C54" s="19"/>
    </row>
    <row r="55" spans="2:3" x14ac:dyDescent="0.2">
      <c r="B55" s="18"/>
      <c r="C55" s="19"/>
    </row>
    <row r="56" spans="2:3" x14ac:dyDescent="0.2">
      <c r="B56" s="18"/>
      <c r="C56" s="19"/>
    </row>
    <row r="57" spans="2:3" x14ac:dyDescent="0.2">
      <c r="B57" s="18"/>
      <c r="C57" s="19"/>
    </row>
    <row r="58" spans="2:3" x14ac:dyDescent="0.2">
      <c r="B58" s="18"/>
      <c r="C58" s="19"/>
    </row>
  </sheetData>
  <sheetProtection algorithmName="SHA-512" hashValue="+WpPpHDtYqW5kmUZBcwYzUD9yFmDMo5yZaX2INeBAcEfpgemyoIAU4M3RSd2db2dT6/l3Z+pj5hSaDigYU1e+g==" saltValue="k2oo5HEnhKt8nQkN7Yeb6Q==" spinCount="100000" sheet="1" objects="1" scenarios="1"/>
  <mergeCells count="12">
    <mergeCell ref="F4:F5"/>
    <mergeCell ref="G4:H5"/>
    <mergeCell ref="I4:K4"/>
    <mergeCell ref="J5:K5"/>
    <mergeCell ref="F6:F13"/>
    <mergeCell ref="G7:G13"/>
    <mergeCell ref="F15:F16"/>
    <mergeCell ref="G15:H16"/>
    <mergeCell ref="I15:K15"/>
    <mergeCell ref="J16:K16"/>
    <mergeCell ref="F17:F24"/>
    <mergeCell ref="G18:G24"/>
  </mergeCells>
  <phoneticPr fontId="3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８％対応</vt:lpstr>
      <vt:lpstr>改定前（消費税10%）</vt:lpstr>
      <vt:lpstr>改定後　計算シート</vt:lpstr>
      <vt:lpstr>'８％対応'!Print_Area</vt:lpstr>
      <vt:lpstr>'改定後　計算シート'!Print_Area</vt:lpstr>
      <vt:lpstr>'改定前（消費税10%）'!Print_Area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かも</dc:creator>
  <cp:lastModifiedBy>小柳 貴誠</cp:lastModifiedBy>
  <cp:lastPrinted>2025-12-15T06:08:27Z</cp:lastPrinted>
  <dcterms:created xsi:type="dcterms:W3CDTF">2014-05-09T06:42:00Z</dcterms:created>
  <dcterms:modified xsi:type="dcterms:W3CDTF">2026-01-26T04:02:55Z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