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15" windowWidth="8895" windowHeight="11640" tabRatio="791" activeTab="3"/>
  </bookViews>
  <sheets>
    <sheet name="２　人口" sheetId="1" r:id="rId1"/>
    <sheet name="1 人口 1" sheetId="2" r:id="rId2"/>
    <sheet name="1 人口 2" sheetId="3" r:id="rId3"/>
    <sheet name="1 人口 3" sheetId="4" r:id="rId4"/>
    <sheet name="1 人口3 (2)" sheetId="5" r:id="rId5"/>
    <sheet name="1 人口3 (2_HP)" sheetId="6" r:id="rId6"/>
    <sheet name="1 人口 4" sheetId="7" r:id="rId7"/>
    <sheet name="1 人口 4 (2)" sheetId="8" r:id="rId8"/>
    <sheet name="1 人口 4 (2_HP)" sheetId="9" r:id="rId9"/>
    <sheet name="1 人口 5～6 " sheetId="10" r:id="rId10"/>
    <sheet name="1 人口 7～9" sheetId="11" r:id="rId11"/>
    <sheet name="1 人口 10" sheetId="12" r:id="rId12"/>
  </sheets>
  <definedNames/>
  <calcPr fullCalcOnLoad="1"/>
</workbook>
</file>

<file path=xl/sharedStrings.xml><?xml version="1.0" encoding="utf-8"?>
<sst xmlns="http://schemas.openxmlformats.org/spreadsheetml/2006/main" count="712" uniqueCount="357">
  <si>
    <t>各年１月１日現在</t>
  </si>
  <si>
    <t>年</t>
  </si>
  <si>
    <t>当たり人員</t>
  </si>
  <si>
    <t>人　　口</t>
  </si>
  <si>
    <t>人口密度</t>
  </si>
  <si>
    <t>世 帯 数</t>
  </si>
  <si>
    <t>世帯数</t>
  </si>
  <si>
    <t>人　　　　　口</t>
  </si>
  <si>
    <t>総　　数</t>
  </si>
  <si>
    <t>男</t>
  </si>
  <si>
    <t>女</t>
  </si>
  <si>
    <t>総数</t>
  </si>
  <si>
    <t>富士見町</t>
  </si>
  <si>
    <t>1丁目</t>
  </si>
  <si>
    <t>2丁目</t>
  </si>
  <si>
    <t>3丁目</t>
  </si>
  <si>
    <t>4丁目</t>
  </si>
  <si>
    <t>5丁目</t>
  </si>
  <si>
    <t>6丁目</t>
  </si>
  <si>
    <t>7丁目</t>
  </si>
  <si>
    <t>柴崎町</t>
  </si>
  <si>
    <t>錦町</t>
  </si>
  <si>
    <t>羽衣町</t>
  </si>
  <si>
    <t>曙町</t>
  </si>
  <si>
    <t>高松町</t>
  </si>
  <si>
    <t>緑町</t>
  </si>
  <si>
    <t>栄町</t>
  </si>
  <si>
    <t>若葉町</t>
  </si>
  <si>
    <t>幸町</t>
  </si>
  <si>
    <t>柏町</t>
  </si>
  <si>
    <t>砂川町</t>
  </si>
  <si>
    <t>8丁目</t>
  </si>
  <si>
    <t>上砂町</t>
  </si>
  <si>
    <t>一番町</t>
  </si>
  <si>
    <t>西砂町</t>
  </si>
  <si>
    <t>増減数</t>
  </si>
  <si>
    <t>自　然　動　態</t>
  </si>
  <si>
    <t>出　生</t>
  </si>
  <si>
    <t>死　亡</t>
  </si>
  <si>
    <t>社　　会　　動　　態</t>
  </si>
  <si>
    <t>転　入</t>
  </si>
  <si>
    <t>転　出</t>
  </si>
  <si>
    <t>その他の増減</t>
  </si>
  <si>
    <t>対前年</t>
  </si>
  <si>
    <t>柴　崎　町</t>
  </si>
  <si>
    <t>錦　　　　町</t>
  </si>
  <si>
    <t>羽　衣　町</t>
  </si>
  <si>
    <t>高　松　町</t>
  </si>
  <si>
    <t>緑　　　　町</t>
  </si>
  <si>
    <t>栄　　　　町</t>
  </si>
  <si>
    <t>若　葉　町</t>
  </si>
  <si>
    <t>柏　　　　町</t>
  </si>
  <si>
    <t>砂　川　町</t>
  </si>
  <si>
    <t>上　砂　町</t>
  </si>
  <si>
    <t>西　砂　町</t>
  </si>
  <si>
    <t>総　　　　　数</t>
  </si>
  <si>
    <t>韓　国</t>
  </si>
  <si>
    <t>朝　鮮</t>
  </si>
  <si>
    <t>中　国</t>
  </si>
  <si>
    <t>その他</t>
  </si>
  <si>
    <t>総　数</t>
  </si>
  <si>
    <t>地　　　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</si>
  <si>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</si>
  <si>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</si>
  <si>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</si>
  <si>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</si>
  <si>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</si>
  <si>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</si>
  <si>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</si>
  <si>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</si>
  <si>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</si>
  <si>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</si>
  <si>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</si>
  <si>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</si>
  <si>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市町村部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</si>
  <si>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</si>
  <si>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</si>
  <si>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</si>
  <si>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</si>
  <si>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</si>
  <si>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</si>
  <si>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</si>
  <si>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</si>
  <si>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</si>
  <si>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</si>
  <si>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</si>
  <si>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</si>
  <si>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</si>
  <si>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</si>
  <si>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</si>
  <si>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</si>
  <si>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</si>
  <si>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</si>
  <si>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</si>
  <si>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</si>
  <si>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</si>
  <si>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</si>
  <si>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</si>
  <si>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</si>
  <si>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</si>
  <si>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</si>
  <si>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</si>
  <si>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</si>
  <si>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</si>
  <si>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</si>
  <si>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</si>
  <si>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</si>
  <si>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</si>
  <si>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</si>
  <si>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</si>
  <si>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従前の住所なし</t>
  </si>
  <si>
    <t>区　　　部</t>
  </si>
  <si>
    <t>千葉県</t>
  </si>
  <si>
    <t>増加率(%)</t>
  </si>
  <si>
    <t>1   世   帯</t>
  </si>
  <si>
    <t>総数</t>
  </si>
  <si>
    <t>泉町</t>
  </si>
  <si>
    <t>総　　　数</t>
  </si>
  <si>
    <t>歳</t>
  </si>
  <si>
    <t>（再　　掲）</t>
  </si>
  <si>
    <t>65～74歳</t>
  </si>
  <si>
    <t>75歳以上</t>
  </si>
  <si>
    <t>平均年齢</t>
  </si>
  <si>
    <t>不　　　　　詳</t>
  </si>
  <si>
    <t>総　　　　数</t>
  </si>
  <si>
    <t>国 分 寺 市</t>
  </si>
  <si>
    <t>八 王 子 市</t>
  </si>
  <si>
    <t>国 　立　 市</t>
  </si>
  <si>
    <t>立　 川 　市</t>
  </si>
  <si>
    <t>福 　生　 市</t>
  </si>
  <si>
    <t>武 蔵 野 市</t>
  </si>
  <si>
    <t>狛 　江　 市</t>
  </si>
  <si>
    <t>三　 鷹 　市</t>
  </si>
  <si>
    <t>東 大 和 市</t>
  </si>
  <si>
    <t>青　 梅 　市</t>
  </si>
  <si>
    <t>清 　瀬　 市</t>
  </si>
  <si>
    <t>府　 中　 市</t>
  </si>
  <si>
    <t>東久留米市</t>
  </si>
  <si>
    <t>昭 　島　 市</t>
  </si>
  <si>
    <t>武蔵村山市</t>
  </si>
  <si>
    <t>調 　布　 市</t>
  </si>
  <si>
    <t>多 　摩　 市</t>
  </si>
  <si>
    <t>町 　田　 市</t>
  </si>
  <si>
    <t>稲 　城　 市</t>
  </si>
  <si>
    <t>小 金 井 市</t>
  </si>
  <si>
    <t>羽 　村　 市</t>
  </si>
  <si>
    <t>小 　平　 市</t>
  </si>
  <si>
    <t>あきる野市</t>
  </si>
  <si>
    <t>日 　野　 市</t>
  </si>
  <si>
    <t>西 東 京 市</t>
  </si>
  <si>
    <t>東 村 山 市</t>
  </si>
  <si>
    <t>総 　　　　数</t>
  </si>
  <si>
    <t>１　　人　　　口</t>
  </si>
  <si>
    <t>１表　世帯数 ・ 人口等の推移</t>
  </si>
  <si>
    <t>人　 口</t>
  </si>
  <si>
    <t>昭和 11</t>
  </si>
  <si>
    <t>平成  2</t>
  </si>
  <si>
    <t>対前年増減数 （人口）</t>
  </si>
  <si>
    <t>年　　　月</t>
  </si>
  <si>
    <t>出 生</t>
  </si>
  <si>
    <t>死 亡</t>
  </si>
  <si>
    <t>転 入</t>
  </si>
  <si>
    <t>転 出</t>
  </si>
  <si>
    <t>増 加</t>
  </si>
  <si>
    <t>減 少</t>
  </si>
  <si>
    <t>転 入 ・ 転 出</t>
  </si>
  <si>
    <t>増加数</t>
  </si>
  <si>
    <t>人　口</t>
  </si>
  <si>
    <t>増加率</t>
  </si>
  <si>
    <t>総　　　　　　　　　　　数</t>
  </si>
  <si>
    <t>対前年比(人口)</t>
  </si>
  <si>
    <t>曙　　　町</t>
  </si>
  <si>
    <t>幸　　　町</t>
  </si>
  <si>
    <t>一　番　町</t>
  </si>
  <si>
    <t>泉　　　町</t>
  </si>
  <si>
    <t>割合 （％）</t>
  </si>
  <si>
    <t>年　度</t>
  </si>
  <si>
    <t>戸　　　　　　　　　　　　　籍</t>
  </si>
  <si>
    <t>住　民　基　本　台　帳</t>
  </si>
  <si>
    <t>婚　姻</t>
  </si>
  <si>
    <t>離　婚</t>
  </si>
  <si>
    <t>転　籍</t>
  </si>
  <si>
    <t>転　居</t>
  </si>
  <si>
    <t>年齢 （歳）</t>
  </si>
  <si>
    <t>100歳 以上</t>
  </si>
  <si>
    <t>１　世　帯</t>
  </si>
  <si>
    <t>（人/ｋ㎡）</t>
  </si>
  <si>
    <t>　</t>
  </si>
  <si>
    <t>年少人口（0～14歳）</t>
  </si>
  <si>
    <t>生産年齢人口（15～64歳）</t>
  </si>
  <si>
    <t>老年人口（65歳以上）</t>
  </si>
  <si>
    <t xml:space="preserve">     12</t>
  </si>
  <si>
    <t xml:space="preserve">     13</t>
  </si>
  <si>
    <t xml:space="preserve">     14</t>
  </si>
  <si>
    <t xml:space="preserve">     15</t>
  </si>
  <si>
    <t xml:space="preserve">     16</t>
  </si>
  <si>
    <t xml:space="preserve">     17</t>
  </si>
  <si>
    <t xml:space="preserve">     18</t>
  </si>
  <si>
    <t xml:space="preserve">     19</t>
  </si>
  <si>
    <t xml:space="preserve">     20</t>
  </si>
  <si>
    <t xml:space="preserve">     22</t>
  </si>
  <si>
    <t xml:space="preserve">     23</t>
  </si>
  <si>
    <t xml:space="preserve">     24</t>
  </si>
  <si>
    <t xml:space="preserve">     25</t>
  </si>
  <si>
    <t xml:space="preserve">     27</t>
  </si>
  <si>
    <t xml:space="preserve">     28</t>
  </si>
  <si>
    <t xml:space="preserve">     29</t>
  </si>
  <si>
    <t xml:space="preserve">     30</t>
  </si>
  <si>
    <t xml:space="preserve">     32</t>
  </si>
  <si>
    <t xml:space="preserve">     33</t>
  </si>
  <si>
    <t xml:space="preserve">     34</t>
  </si>
  <si>
    <t xml:space="preserve">     35</t>
  </si>
  <si>
    <t xml:space="preserve">     37</t>
  </si>
  <si>
    <t xml:space="preserve">     38</t>
  </si>
  <si>
    <t xml:space="preserve">     39</t>
  </si>
  <si>
    <t xml:space="preserve">     40</t>
  </si>
  <si>
    <t xml:space="preserve">     42</t>
  </si>
  <si>
    <t xml:space="preserve">     43</t>
  </si>
  <si>
    <t xml:space="preserve">     44</t>
  </si>
  <si>
    <t xml:space="preserve">     45</t>
  </si>
  <si>
    <t xml:space="preserve">     47</t>
  </si>
  <si>
    <t xml:space="preserve">     48</t>
  </si>
  <si>
    <t xml:space="preserve">     49</t>
  </si>
  <si>
    <t xml:space="preserve">     50</t>
  </si>
  <si>
    <t xml:space="preserve">     53</t>
  </si>
  <si>
    <t xml:space="preserve">     54</t>
  </si>
  <si>
    <t xml:space="preserve">     55</t>
  </si>
  <si>
    <t xml:space="preserve">     57</t>
  </si>
  <si>
    <t xml:space="preserve">     58</t>
  </si>
  <si>
    <t xml:space="preserve">     59</t>
  </si>
  <si>
    <t xml:space="preserve">     60</t>
  </si>
  <si>
    <t xml:space="preserve">     62</t>
  </si>
  <si>
    <t xml:space="preserve">     63</t>
  </si>
  <si>
    <t xml:space="preserve">     64</t>
  </si>
  <si>
    <t xml:space="preserve">     4</t>
  </si>
  <si>
    <t xml:space="preserve">     5</t>
  </si>
  <si>
    <t xml:space="preserve">     6</t>
  </si>
  <si>
    <t xml:space="preserve">     7</t>
  </si>
  <si>
    <t xml:space="preserve">     9</t>
  </si>
  <si>
    <t xml:space="preserve">     10</t>
  </si>
  <si>
    <t xml:space="preserve">     11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</si>
  <si>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</si>
  <si>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</si>
  <si>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</si>
  <si>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</si>
  <si>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</si>
  <si>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</si>
  <si>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</si>
  <si>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３表　町丁別世帯数と人口</t>
  </si>
  <si>
    <t>２表　26市の男女別人口</t>
  </si>
  <si>
    <t>５表　町別世帯数 ・ 人口の推移</t>
  </si>
  <si>
    <t>７表　人口動態の推移</t>
  </si>
  <si>
    <t>８表　国籍別外国人登録者数の推移</t>
  </si>
  <si>
    <t>９表　戸籍届出処理件数 ・ 住民異動届処理件数の推移</t>
  </si>
  <si>
    <t>（％）</t>
  </si>
  <si>
    <t xml:space="preserve">     21</t>
  </si>
  <si>
    <t>平成21年1月1日現在</t>
  </si>
  <si>
    <t>平成21年1月1日現在</t>
  </si>
  <si>
    <t>前年人口</t>
  </si>
  <si>
    <t>この行（ Ｉ　）表示しないこと</t>
  </si>
  <si>
    <t>平成21年1月1日現在</t>
  </si>
  <si>
    <t>　15歳未満</t>
  </si>
  <si>
    <t>　15～64歳</t>
  </si>
  <si>
    <t>　65歳以上</t>
  </si>
  <si>
    <t>平成20年</t>
  </si>
  <si>
    <t>資料：市民生活部市民課</t>
  </si>
  <si>
    <t>資料：市民生活部市民課</t>
  </si>
  <si>
    <t>S64</t>
  </si>
  <si>
    <t>H10</t>
  </si>
  <si>
    <r>
      <t>（人/km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)</t>
    </r>
  </si>
  <si>
    <t xml:space="preserve">     51</t>
  </si>
  <si>
    <t xml:space="preserve">     12</t>
  </si>
  <si>
    <t xml:space="preserve">     52</t>
  </si>
  <si>
    <t xml:space="preserve">     16</t>
  </si>
  <si>
    <t xml:space="preserve">     56</t>
  </si>
  <si>
    <t xml:space="preserve">     21</t>
  </si>
  <si>
    <t xml:space="preserve">     61</t>
  </si>
  <si>
    <t xml:space="preserve">     26</t>
  </si>
  <si>
    <t xml:space="preserve">     3</t>
  </si>
  <si>
    <t xml:space="preserve">     31</t>
  </si>
  <si>
    <t xml:space="preserve">     8</t>
  </si>
  <si>
    <t xml:space="preserve">     36</t>
  </si>
  <si>
    <t xml:space="preserve">     13</t>
  </si>
  <si>
    <t xml:space="preserve">     41</t>
  </si>
  <si>
    <t xml:space="preserve">     18</t>
  </si>
  <si>
    <t xml:space="preserve">     19</t>
  </si>
  <si>
    <t xml:space="preserve">     46</t>
  </si>
  <si>
    <t>-</t>
  </si>
  <si>
    <t>30 ～ 34</t>
  </si>
  <si>
    <t>５ ～ ９</t>
  </si>
  <si>
    <t>35 ～ 39</t>
  </si>
  <si>
    <t>10 ～ 14</t>
  </si>
  <si>
    <t>40 ～ 44</t>
  </si>
  <si>
    <t>０ ～ ４</t>
  </si>
  <si>
    <t>15 ～ 19</t>
  </si>
  <si>
    <t>20 ～ 24</t>
  </si>
  <si>
    <t>25 ～ 29</t>
  </si>
  <si>
    <t>45 ～ 49</t>
  </si>
  <si>
    <t>50 ～ 54</t>
  </si>
  <si>
    <t>60 ～ 64</t>
  </si>
  <si>
    <t>90 ～ 94</t>
  </si>
  <si>
    <t>65 ～ 69</t>
  </si>
  <si>
    <t>95 ～ 99</t>
  </si>
  <si>
    <t>－</t>
  </si>
  <si>
    <r>
      <t>年齢別割合</t>
    </r>
    <r>
      <rPr>
        <sz val="9"/>
        <rFont val="ＭＳ Ｐ明朝"/>
        <family val="1"/>
      </rPr>
      <t xml:space="preserve"> (%)</t>
    </r>
  </si>
  <si>
    <t>55 ～ 59</t>
  </si>
  <si>
    <t>70 ～ 74</t>
  </si>
  <si>
    <t>75 ～ 79</t>
  </si>
  <si>
    <t>80 ～ 84</t>
  </si>
  <si>
    <t>85 ～ 89</t>
  </si>
  <si>
    <t>. 1</t>
  </si>
  <si>
    <t xml:space="preserve">  2</t>
  </si>
  <si>
    <t xml:space="preserve"> 10</t>
  </si>
  <si>
    <t xml:space="preserve"> 11</t>
  </si>
  <si>
    <t xml:space="preserve"> 12</t>
  </si>
  <si>
    <t>アメリカ</t>
  </si>
  <si>
    <t>イギリス</t>
  </si>
  <si>
    <t>ブラジル</t>
  </si>
  <si>
    <t>インド</t>
  </si>
  <si>
    <t>タイ</t>
  </si>
  <si>
    <t>フィリピン</t>
  </si>
  <si>
    <t>(</t>
  </si>
  <si>
    <t>)</t>
  </si>
  <si>
    <t>（</t>
  </si>
  <si>
    <t>）</t>
  </si>
  <si>
    <t>(</t>
  </si>
  <si>
    <t>)</t>
  </si>
  <si>
    <t>（</t>
  </si>
  <si>
    <t>）</t>
  </si>
  <si>
    <t>-</t>
  </si>
  <si>
    <t>　注２：昭和38年5月1日に旧砂川町と合併したため、昭和39年以降は合併した数値である。</t>
  </si>
  <si>
    <t>　注１：この表の数値は、昭和32年までは旧食糧管理法による各年12月末日、同33年から42年までは旧住民登録</t>
  </si>
  <si>
    <t>　　　　法による各年1月1日及び同43年以降は住民基本台帳法による各年1月1日現在のものである。</t>
  </si>
  <si>
    <t>　注：外国人登録者数は含まない。</t>
  </si>
  <si>
    <t>　注：住民基本台帳による人口で、外国人登録者数は含まない。</t>
  </si>
  <si>
    <t>　注：戸籍欄の数値には、非本籍人届出数は含まない。</t>
  </si>
  <si>
    <t>　注：その他の増減中、増加は海外からの転入、帰化等、減少は海外への転出、職権消除等を指す。</t>
  </si>
  <si>
    <t>　注：（　　）は内数。</t>
  </si>
  <si>
    <t>資料：東京都総務局「住民基本台帳による東京都の世帯と人口」</t>
  </si>
  <si>
    <t>６表　年少 ・ 生産年齢 ・ 老年人口の推移</t>
  </si>
  <si>
    <t>１０表　都道府県別 ・ 男女別転入者数</t>
  </si>
  <si>
    <t>４表　年齢 （ 各歳 ） ，男女別人口</t>
  </si>
  <si>
    <t>第２章　人口</t>
  </si>
  <si>
    <t>－</t>
  </si>
  <si>
    <t>-</t>
  </si>
  <si>
    <t>３表　町丁別世帯数と人口　（続き）</t>
  </si>
  <si>
    <t>55 ～ 59</t>
  </si>
  <si>
    <t>85 ～ 89</t>
  </si>
  <si>
    <t>60 ～ 64</t>
  </si>
  <si>
    <t>90 ～ 94</t>
  </si>
  <si>
    <t>65 ～ 69</t>
  </si>
  <si>
    <t>95 ～ 99</t>
  </si>
  <si>
    <t>70 ～ 74</t>
  </si>
  <si>
    <t>－</t>
  </si>
  <si>
    <t>75 ～ 79</t>
  </si>
  <si>
    <t>80 ～ 84</t>
  </si>
  <si>
    <t>４表　年齢 （ 各歳 ） ，男女別人口　（続き）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</si>
</sst>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.0_ ;_ * \-#,##0.0_ ;_ * &quot;-&quot;?_ ;_ @_ "/>
    <numFmt numFmtId="178" formatCode="#,##0;[Red]#,##0"/>
    <numFmt numFmtId="179" formatCode="#,##0_ "/>
    <numFmt numFmtId="180" formatCode="#,##0.00;&quot;△ &quot;#,##0.00"/>
    <numFmt numFmtId="181" formatCode="#,##0.00_ "/>
    <numFmt numFmtId="182" formatCode="#,##0.0;&quot;△ &quot;#,##0.0"/>
    <numFmt numFmtId="183" formatCode="0.00_ "/>
    <numFmt numFmtId="184" formatCode="#,##0_);[Red]\(#,##0\)"/>
    <numFmt numFmtId="185" formatCode="#,##0.00_);[Red]\(#,##0.00\)"/>
    <numFmt numFmtId="186" formatCode="0.00_);[Red]\(0.00\)"/>
    <numFmt numFmtId="187" formatCode="0_ "/>
    <numFmt numFmtId="188" formatCode="#,##0.0_ "/>
    <numFmt numFmtId="189" formatCode="0.E+00"/>
    <numFmt numFmtId="190" formatCode="\ &quot;-&quot;0\ "/>
    <numFmt numFmtId="191" formatCode="0_);[Red]\(0\)"/>
    <numFmt numFmtId="192" formatCode="0.0_);[Red]\(0.0\)"/>
    <numFmt numFmtId="193" formatCode="#,##0.0_);[Red]\(#,##0.0\)"/>
    <numFmt numFmtId="194" formatCode="#,##0.000;&quot;△ &quot;#,##0.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8"/>
      <name val="HG丸ｺﾞｼｯｸM-PRO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vertAlign val="superscript"/>
      <sz val="9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36"/>
      <name val="HG丸ｺﾞｼｯｸM-PRO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>
        <color indexed="63"/>
      </left>
      <right style="hair"/>
      <top style="thin"/>
      <bottom style="hair"/>
      <diagonal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179" fontId="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/>
    </xf>
    <xf numFmtId="179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84" fontId="5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84" fontId="0" fillId="0" borderId="0" xfId="0" applyNumberFormat="1" applyFill="1" applyAlignment="1">
      <alignment horizontal="center"/>
    </xf>
    <xf numFmtId="184" fontId="5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ill="1" applyAlignment="1">
      <alignment/>
    </xf>
    <xf numFmtId="184" fontId="3" fillId="0" borderId="0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Alignment="1">
      <alignment vertical="center"/>
    </xf>
    <xf numFmtId="179" fontId="12" fillId="0" borderId="0" xfId="0" applyNumberFormat="1" applyFont="1" applyFill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indent="1"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179" fontId="12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/>
    </xf>
    <xf numFmtId="176" fontId="12" fillId="0" borderId="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176" fontId="12" fillId="0" borderId="0" xfId="0" applyNumberFormat="1" applyFont="1" applyFill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80" fontId="12" fillId="0" borderId="0" xfId="0" applyNumberFormat="1" applyFont="1" applyFill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179" fontId="12" fillId="0" borderId="0" xfId="0" applyNumberFormat="1" applyFont="1" applyFill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2" fillId="0" borderId="3" xfId="0" applyFont="1" applyFill="1" applyBorder="1" applyAlignment="1">
      <alignment horizontal="center" vertical="center"/>
    </xf>
    <xf numFmtId="179" fontId="12" fillId="0" borderId="15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184" fontId="12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Alignment="1">
      <alignment horizontal="right" vertical="center"/>
    </xf>
    <xf numFmtId="181" fontId="12" fillId="0" borderId="0" xfId="0" applyNumberFormat="1" applyFont="1" applyFill="1" applyAlignment="1">
      <alignment horizontal="right" vertical="center"/>
    </xf>
    <xf numFmtId="186" fontId="9" fillId="0" borderId="0" xfId="0" applyNumberFormat="1" applyFont="1" applyFill="1" applyAlignment="1">
      <alignment/>
    </xf>
    <xf numFmtId="0" fontId="11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49" fontId="12" fillId="0" borderId="2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49" fontId="12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top"/>
    </xf>
    <xf numFmtId="184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distributed" vertical="center"/>
    </xf>
    <xf numFmtId="180" fontId="12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Alignment="1">
      <alignment horizontal="right" vertical="center"/>
    </xf>
    <xf numFmtId="18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184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 vertical="center"/>
    </xf>
    <xf numFmtId="184" fontId="12" fillId="0" borderId="11" xfId="0" applyNumberFormat="1" applyFont="1" applyFill="1" applyBorder="1" applyAlignment="1">
      <alignment horizontal="center"/>
    </xf>
    <xf numFmtId="176" fontId="12" fillId="0" borderId="5" xfId="0" applyNumberFormat="1" applyFont="1" applyFill="1" applyBorder="1" applyAlignment="1">
      <alignment horizontal="center" vertical="center"/>
    </xf>
    <xf numFmtId="184" fontId="12" fillId="0" borderId="5" xfId="0" applyNumberFormat="1" applyFont="1" applyFill="1" applyBorder="1" applyAlignment="1">
      <alignment horizontal="center" vertical="top"/>
    </xf>
    <xf numFmtId="176" fontId="12" fillId="0" borderId="16" xfId="0" applyNumberFormat="1" applyFont="1" applyFill="1" applyBorder="1" applyAlignment="1">
      <alignment horizontal="center"/>
    </xf>
    <xf numFmtId="176" fontId="12" fillId="0" borderId="7" xfId="0" applyNumberFormat="1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25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84" fontId="12" fillId="0" borderId="0" xfId="0" applyNumberFormat="1" applyFont="1" applyFill="1" applyAlignment="1">
      <alignment vertical="center"/>
    </xf>
    <xf numFmtId="184" fontId="9" fillId="0" borderId="0" xfId="0" applyNumberFormat="1" applyFont="1" applyFill="1" applyBorder="1" applyAlignment="1">
      <alignment/>
    </xf>
    <xf numFmtId="184" fontId="9" fillId="0" borderId="1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/>
    </xf>
    <xf numFmtId="0" fontId="12" fillId="0" borderId="2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179" fontId="12" fillId="0" borderId="2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center" vertical="center"/>
    </xf>
    <xf numFmtId="191" fontId="12" fillId="0" borderId="27" xfId="0" applyNumberFormat="1" applyFont="1" applyFill="1" applyBorder="1" applyAlignment="1">
      <alignment horizontal="right" vertical="center"/>
    </xf>
    <xf numFmtId="191" fontId="12" fillId="0" borderId="0" xfId="0" applyNumberFormat="1" applyFont="1" applyFill="1" applyAlignment="1">
      <alignment horizontal="right" vertical="center"/>
    </xf>
    <xf numFmtId="192" fontId="12" fillId="0" borderId="0" xfId="0" applyNumberFormat="1" applyFont="1" applyFill="1" applyAlignment="1">
      <alignment horizontal="right" vertical="center"/>
    </xf>
    <xf numFmtId="193" fontId="1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93" fontId="9" fillId="0" borderId="0" xfId="0" applyNumberFormat="1" applyFont="1" applyFill="1" applyBorder="1" applyAlignment="1">
      <alignment/>
    </xf>
    <xf numFmtId="0" fontId="12" fillId="0" borderId="25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176" fontId="11" fillId="0" borderId="0" xfId="0" applyNumberFormat="1" applyFont="1" applyFill="1" applyAlignment="1">
      <alignment horizontal="right"/>
    </xf>
    <xf numFmtId="0" fontId="9" fillId="0" borderId="2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9" fontId="11" fillId="0" borderId="15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Alignment="1">
      <alignment horizontal="right" vertical="center"/>
    </xf>
    <xf numFmtId="0" fontId="12" fillId="0" borderId="15" xfId="0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12" fillId="0" borderId="0" xfId="0" applyNumberFormat="1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2" fillId="0" borderId="3" xfId="0" applyFont="1" applyFill="1" applyBorder="1" applyAlignment="1">
      <alignment vertical="center"/>
    </xf>
    <xf numFmtId="176" fontId="11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180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2" xfId="0" applyFont="1" applyFill="1" applyBorder="1" applyAlignment="1">
      <alignment/>
    </xf>
    <xf numFmtId="181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179" fontId="11" fillId="0" borderId="13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" xfId="0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/>
    </xf>
    <xf numFmtId="0" fontId="11" fillId="0" borderId="3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31" xfId="0" applyFont="1" applyFill="1" applyBorder="1" applyAlignment="1">
      <alignment horizontal="distributed" vertical="center"/>
    </xf>
    <xf numFmtId="0" fontId="12" fillId="0" borderId="31" xfId="0" applyFont="1" applyFill="1" applyBorder="1" applyAlignment="1">
      <alignment horizontal="distributed" vertical="center" indent="1"/>
    </xf>
    <xf numFmtId="0" fontId="12" fillId="0" borderId="32" xfId="0" applyFont="1" applyFill="1" applyBorder="1" applyAlignment="1">
      <alignment horizontal="distributed" vertical="center" indent="1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2" xfId="0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left" indent="1"/>
    </xf>
    <xf numFmtId="0" fontId="17" fillId="0" borderId="13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 indent="1"/>
    </xf>
    <xf numFmtId="0" fontId="17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/>
    </xf>
    <xf numFmtId="184" fontId="17" fillId="0" borderId="13" xfId="0" applyNumberFormat="1" applyFont="1" applyFill="1" applyBorder="1" applyAlignment="1">
      <alignment/>
    </xf>
    <xf numFmtId="0" fontId="18" fillId="0" borderId="13" xfId="0" applyFont="1" applyFill="1" applyBorder="1" applyAlignment="1">
      <alignment/>
    </xf>
    <xf numFmtId="184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left" vertical="center" indent="1"/>
    </xf>
    <xf numFmtId="179" fontId="5" fillId="0" borderId="0" xfId="0" applyNumberFormat="1" applyFont="1" applyFill="1" applyAlignment="1">
      <alignment horizontal="right" vertical="center" indent="1"/>
    </xf>
    <xf numFmtId="179" fontId="12" fillId="0" borderId="0" xfId="0" applyNumberFormat="1" applyFont="1" applyFill="1" applyAlignment="1">
      <alignment horizontal="right" vertical="center" indent="1"/>
    </xf>
    <xf numFmtId="179" fontId="14" fillId="0" borderId="0" xfId="0" applyNumberFormat="1" applyFont="1" applyFill="1" applyAlignment="1">
      <alignment horizontal="right" vertical="center" indent="1"/>
    </xf>
    <xf numFmtId="179" fontId="12" fillId="0" borderId="0" xfId="0" applyNumberFormat="1" applyFont="1" applyFill="1" applyBorder="1" applyAlignment="1">
      <alignment horizontal="right" vertical="center" indent="1"/>
    </xf>
    <xf numFmtId="0" fontId="16" fillId="0" borderId="3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vertical="center"/>
    </xf>
    <xf numFmtId="188" fontId="11" fillId="0" borderId="0" xfId="0" applyNumberFormat="1" applyFont="1" applyFill="1" applyAlignment="1">
      <alignment horizontal="right" vertical="center"/>
    </xf>
    <xf numFmtId="0" fontId="15" fillId="0" borderId="27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0" fontId="9" fillId="0" borderId="2" xfId="0" applyFont="1" applyBorder="1" applyAlignment="1">
      <alignment/>
    </xf>
    <xf numFmtId="184" fontId="12" fillId="0" borderId="0" xfId="0" applyNumberFormat="1" applyFont="1" applyFill="1" applyBorder="1" applyAlignment="1">
      <alignment vertical="center"/>
    </xf>
    <xf numFmtId="192" fontId="12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9" fillId="0" borderId="2" xfId="0" applyFont="1" applyFill="1" applyBorder="1" applyAlignment="1">
      <alignment/>
    </xf>
    <xf numFmtId="0" fontId="1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/>
    </xf>
    <xf numFmtId="0" fontId="16" fillId="0" borderId="25" xfId="0" applyFont="1" applyFill="1" applyBorder="1" applyAlignment="1">
      <alignment vertical="top" shrinkToFit="1"/>
    </xf>
    <xf numFmtId="0" fontId="0" fillId="0" borderId="0" xfId="0" applyAlignment="1">
      <alignment shrinkToFit="1"/>
    </xf>
    <xf numFmtId="0" fontId="0" fillId="0" borderId="2" xfId="0" applyBorder="1" applyAlignment="1">
      <alignment shrinkToFit="1"/>
    </xf>
    <xf numFmtId="179" fontId="12" fillId="0" borderId="0" xfId="0" applyNumberFormat="1" applyFont="1" applyFill="1" applyBorder="1" applyAlignment="1">
      <alignment horizontal="right"/>
    </xf>
    <xf numFmtId="184" fontId="12" fillId="0" borderId="0" xfId="0" applyNumberFormat="1" applyFont="1" applyFill="1" applyBorder="1" applyAlignment="1">
      <alignment horizontal="right" vertical="center"/>
    </xf>
    <xf numFmtId="192" fontId="12" fillId="0" borderId="0" xfId="0" applyNumberFormat="1" applyFont="1" applyFill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/>
    </xf>
    <xf numFmtId="184" fontId="12" fillId="0" borderId="0" xfId="0" applyNumberFormat="1" applyFont="1" applyFill="1" applyAlignment="1">
      <alignment vertical="center"/>
    </xf>
    <xf numFmtId="0" fontId="0" fillId="0" borderId="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176" fontId="9" fillId="0" borderId="29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179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/>
    </xf>
    <xf numFmtId="179" fontId="11" fillId="0" borderId="0" xfId="0" applyNumberFormat="1" applyFont="1" applyFill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/>
    </xf>
    <xf numFmtId="179" fontId="4" fillId="0" borderId="45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Alignment="1">
      <alignment horizontal="right"/>
    </xf>
    <xf numFmtId="0" fontId="11" fillId="0" borderId="8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6" fontId="11" fillId="0" borderId="15" xfId="0" applyNumberFormat="1" applyFont="1" applyFill="1" applyBorder="1" applyAlignment="1">
      <alignment horizontal="center" vertical="center"/>
    </xf>
    <xf numFmtId="179" fontId="11" fillId="0" borderId="1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184" fontId="12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79" fontId="1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2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38" xfId="0" applyFont="1" applyFill="1" applyBorder="1" applyAlignment="1">
      <alignment horizontal="distributed" vertical="center" indent="1"/>
    </xf>
    <xf numFmtId="0" fontId="12" fillId="0" borderId="15" xfId="0" applyFont="1" applyFill="1" applyBorder="1" applyAlignment="1">
      <alignment horizontal="distributed" vertical="center" indent="1"/>
    </xf>
    <xf numFmtId="0" fontId="12" fillId="0" borderId="3" xfId="0" applyFont="1" applyFill="1" applyBorder="1" applyAlignment="1">
      <alignment horizontal="distributed" vertical="center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"/>
  <sheetViews>
    <sheetView workbookViewId="0" topLeftCell="A1">
      <selection activeCell="A7" sqref="A7:B7"/>
    </sheetView>
  </sheetViews>
  <sheetFormatPr defaultColWidth="9.00390625" defaultRowHeight="13.5"/>
  <cols>
    <col min="1" max="16384" width="9.50390625" style="2" customWidth="1"/>
  </cols>
  <sheetData>
    <row r="1" ht="26.25" customHeight="1"/>
    <row r="2" ht="22.5" customHeight="1"/>
    <row r="4" ht="145.5" customHeight="1"/>
    <row r="5" spans="1:9" s="12" customFormat="1" ht="55.5" customHeight="1">
      <c r="A5" s="266" t="s">
        <v>342</v>
      </c>
      <c r="B5" s="266"/>
      <c r="C5" s="266"/>
      <c r="D5" s="266"/>
      <c r="E5" s="266"/>
      <c r="F5" s="266"/>
      <c r="G5" s="266"/>
      <c r="H5" s="266"/>
      <c r="I5" s="266"/>
    </row>
  </sheetData>
  <mergeCells count="1">
    <mergeCell ref="A5:I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&amp;R&amp;8人　口　　　　29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A1">
      <selection activeCell="F15" sqref="F15"/>
    </sheetView>
  </sheetViews>
  <sheetFormatPr defaultColWidth="9.00390625" defaultRowHeight="13.5"/>
  <cols>
    <col min="1" max="1" width="6.875" style="40" customWidth="1"/>
    <col min="2" max="5" width="3.50390625" style="40" customWidth="1"/>
    <col min="6" max="6" width="6.875" style="40" customWidth="1"/>
    <col min="7" max="7" width="6.25390625" style="40" customWidth="1"/>
    <col min="8" max="9" width="3.125" style="40" customWidth="1"/>
    <col min="10" max="11" width="6.25390625" style="40" customWidth="1"/>
    <col min="12" max="13" width="3.125" style="40" customWidth="1"/>
    <col min="14" max="15" width="6.25390625" style="40" customWidth="1"/>
    <col min="16" max="17" width="3.125" style="40" customWidth="1"/>
    <col min="18" max="18" width="6.25390625" style="40" customWidth="1"/>
    <col min="19" max="16384" width="9.00390625" style="40" customWidth="1"/>
  </cols>
  <sheetData>
    <row r="1" spans="1:18" ht="12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0.25" customHeight="1">
      <c r="A2" s="33" t="s">
        <v>250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2.75" customHeigh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47" t="s">
        <v>0</v>
      </c>
    </row>
    <row r="4" spans="1:18" s="45" customFormat="1" ht="12.75" customHeight="1">
      <c r="A4" s="299" t="s">
        <v>1</v>
      </c>
      <c r="B4" s="221" t="s">
        <v>169</v>
      </c>
      <c r="C4" s="221"/>
      <c r="D4" s="221"/>
      <c r="E4" s="221"/>
      <c r="F4" s="221"/>
      <c r="G4" s="221"/>
      <c r="H4" s="221"/>
      <c r="I4" s="221"/>
      <c r="J4" s="221"/>
      <c r="K4" s="221" t="s">
        <v>12</v>
      </c>
      <c r="L4" s="221"/>
      <c r="M4" s="221"/>
      <c r="N4" s="221"/>
      <c r="O4" s="221" t="s">
        <v>44</v>
      </c>
      <c r="P4" s="221"/>
      <c r="Q4" s="221"/>
      <c r="R4" s="291"/>
    </row>
    <row r="5" spans="1:18" s="45" customFormat="1" ht="3.75" customHeight="1">
      <c r="A5" s="300"/>
      <c r="B5" s="235" t="s">
        <v>6</v>
      </c>
      <c r="C5" s="235"/>
      <c r="D5" s="235" t="s">
        <v>7</v>
      </c>
      <c r="E5" s="235"/>
      <c r="F5" s="235"/>
      <c r="G5" s="235"/>
      <c r="H5" s="235" t="s">
        <v>170</v>
      </c>
      <c r="I5" s="235"/>
      <c r="J5" s="235"/>
      <c r="K5" s="235" t="s">
        <v>6</v>
      </c>
      <c r="L5" s="235" t="s">
        <v>167</v>
      </c>
      <c r="M5" s="292"/>
      <c r="N5" s="67"/>
      <c r="O5" s="235" t="s">
        <v>6</v>
      </c>
      <c r="P5" s="235" t="s">
        <v>167</v>
      </c>
      <c r="Q5" s="292"/>
      <c r="R5" s="171"/>
    </row>
    <row r="6" spans="1:18" s="45" customFormat="1" ht="11.25" customHeight="1">
      <c r="A6" s="300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304" t="s">
        <v>43</v>
      </c>
      <c r="O6" s="235"/>
      <c r="P6" s="235"/>
      <c r="Q6" s="235"/>
      <c r="R6" s="305" t="s">
        <v>43</v>
      </c>
    </row>
    <row r="7" spans="1:18" s="45" customFormat="1" ht="6" customHeight="1">
      <c r="A7" s="300"/>
      <c r="B7" s="235"/>
      <c r="C7" s="235"/>
      <c r="D7" s="235" t="s">
        <v>60</v>
      </c>
      <c r="E7" s="235"/>
      <c r="F7" s="235" t="s">
        <v>9</v>
      </c>
      <c r="G7" s="235" t="s">
        <v>10</v>
      </c>
      <c r="H7" s="235" t="s">
        <v>166</v>
      </c>
      <c r="I7" s="235"/>
      <c r="J7" s="303" t="s">
        <v>168</v>
      </c>
      <c r="K7" s="235"/>
      <c r="L7" s="235"/>
      <c r="M7" s="235"/>
      <c r="N7" s="304"/>
      <c r="O7" s="235"/>
      <c r="P7" s="235"/>
      <c r="Q7" s="235"/>
      <c r="R7" s="306"/>
    </row>
    <row r="8" spans="1:18" s="45" customFormat="1" ht="6" customHeight="1">
      <c r="A8" s="300"/>
      <c r="B8" s="235"/>
      <c r="C8" s="235"/>
      <c r="D8" s="235"/>
      <c r="E8" s="235"/>
      <c r="F8" s="235"/>
      <c r="G8" s="235"/>
      <c r="H8" s="235"/>
      <c r="I8" s="235"/>
      <c r="J8" s="304"/>
      <c r="K8" s="235"/>
      <c r="L8" s="235"/>
      <c r="M8" s="235"/>
      <c r="N8" s="309" t="s">
        <v>166</v>
      </c>
      <c r="O8" s="235"/>
      <c r="P8" s="235"/>
      <c r="Q8" s="235"/>
      <c r="R8" s="307" t="s">
        <v>166</v>
      </c>
    </row>
    <row r="9" spans="1:18" s="45" customFormat="1" ht="10.5" customHeight="1">
      <c r="A9" s="300"/>
      <c r="B9" s="235"/>
      <c r="C9" s="235"/>
      <c r="D9" s="235"/>
      <c r="E9" s="235"/>
      <c r="F9" s="235"/>
      <c r="G9" s="235"/>
      <c r="H9" s="235"/>
      <c r="I9" s="235"/>
      <c r="J9" s="172" t="s">
        <v>254</v>
      </c>
      <c r="K9" s="235"/>
      <c r="L9" s="235"/>
      <c r="M9" s="235"/>
      <c r="N9" s="310"/>
      <c r="O9" s="235"/>
      <c r="P9" s="235"/>
      <c r="Q9" s="235"/>
      <c r="R9" s="308"/>
    </row>
    <row r="10" spans="1:17" s="45" customFormat="1" ht="3.75" customHeight="1">
      <c r="A10" s="48"/>
      <c r="B10" s="220"/>
      <c r="C10" s="220"/>
      <c r="D10" s="220"/>
      <c r="E10" s="220"/>
      <c r="H10" s="220"/>
      <c r="I10" s="220"/>
      <c r="L10" s="220"/>
      <c r="M10" s="220"/>
      <c r="P10" s="220"/>
      <c r="Q10" s="220"/>
    </row>
    <row r="11" spans="1:18" s="45" customFormat="1" ht="12.75" customHeight="1">
      <c r="A11" s="173">
        <v>17</v>
      </c>
      <c r="B11" s="233">
        <v>76050</v>
      </c>
      <c r="C11" s="233"/>
      <c r="D11" s="286">
        <f>SUM(F11:G11)</f>
        <v>168828</v>
      </c>
      <c r="E11" s="286"/>
      <c r="F11" s="164">
        <v>84438</v>
      </c>
      <c r="G11" s="164">
        <v>84390</v>
      </c>
      <c r="H11" s="286">
        <f>D11-166829</f>
        <v>1999</v>
      </c>
      <c r="I11" s="286"/>
      <c r="J11" s="174">
        <f>D11/166829*100-100</f>
        <v>1.1982329211348173</v>
      </c>
      <c r="K11" s="164">
        <v>8914</v>
      </c>
      <c r="L11" s="286">
        <v>19470</v>
      </c>
      <c r="M11" s="286"/>
      <c r="N11" s="164">
        <v>1697</v>
      </c>
      <c r="O11" s="164">
        <v>4534</v>
      </c>
      <c r="P11" s="222">
        <v>9588</v>
      </c>
      <c r="Q11" s="222"/>
      <c r="R11" s="164">
        <v>-26</v>
      </c>
    </row>
    <row r="12" spans="1:18" s="45" customFormat="1" ht="12.75" customHeight="1">
      <c r="A12" s="173">
        <v>18</v>
      </c>
      <c r="B12" s="233">
        <v>77170</v>
      </c>
      <c r="C12" s="233"/>
      <c r="D12" s="286">
        <f>SUM(F12:G12)</f>
        <v>169768</v>
      </c>
      <c r="E12" s="286"/>
      <c r="F12" s="164">
        <v>84887</v>
      </c>
      <c r="G12" s="164">
        <v>84881</v>
      </c>
      <c r="H12" s="286">
        <f>D12-D11</f>
        <v>940</v>
      </c>
      <c r="I12" s="286"/>
      <c r="J12" s="174">
        <f>D12/D11*100-100</f>
        <v>0.5567796810955485</v>
      </c>
      <c r="K12" s="164">
        <v>9020</v>
      </c>
      <c r="L12" s="286">
        <v>19642</v>
      </c>
      <c r="M12" s="286"/>
      <c r="N12" s="164">
        <f>L12-L11</f>
        <v>172</v>
      </c>
      <c r="O12" s="164">
        <v>4572</v>
      </c>
      <c r="P12" s="222">
        <v>9549</v>
      </c>
      <c r="Q12" s="222"/>
      <c r="R12" s="164">
        <f>P12-P11</f>
        <v>-39</v>
      </c>
    </row>
    <row r="13" spans="1:18" s="45" customFormat="1" ht="12.75" customHeight="1">
      <c r="A13" s="173">
        <v>19</v>
      </c>
      <c r="B13" s="233">
        <v>78581</v>
      </c>
      <c r="C13" s="233"/>
      <c r="D13" s="286">
        <f>SUM(F13:G13)</f>
        <v>171325</v>
      </c>
      <c r="E13" s="286"/>
      <c r="F13" s="164">
        <v>85685</v>
      </c>
      <c r="G13" s="164">
        <v>85640</v>
      </c>
      <c r="H13" s="286">
        <f>D13-D12</f>
        <v>1557</v>
      </c>
      <c r="I13" s="286"/>
      <c r="J13" s="174">
        <f>D13/D12*100-100</f>
        <v>0.9171339710663915</v>
      </c>
      <c r="K13" s="164">
        <v>9084</v>
      </c>
      <c r="L13" s="286">
        <v>19568</v>
      </c>
      <c r="M13" s="286"/>
      <c r="N13" s="164">
        <f>L13-L12</f>
        <v>-74</v>
      </c>
      <c r="O13" s="164">
        <v>4592</v>
      </c>
      <c r="P13" s="222">
        <v>9464</v>
      </c>
      <c r="Q13" s="222"/>
      <c r="R13" s="164">
        <f>P13-P12</f>
        <v>-85</v>
      </c>
    </row>
    <row r="14" spans="1:18" s="45" customFormat="1" ht="12.75" customHeight="1">
      <c r="A14" s="173">
        <v>20</v>
      </c>
      <c r="B14" s="233">
        <v>79876</v>
      </c>
      <c r="C14" s="286"/>
      <c r="D14" s="286">
        <f>SUM(F14:G14)</f>
        <v>172547</v>
      </c>
      <c r="E14" s="286"/>
      <c r="F14" s="164">
        <v>86300</v>
      </c>
      <c r="G14" s="164">
        <v>86247</v>
      </c>
      <c r="H14" s="286">
        <f>D14-D13</f>
        <v>1222</v>
      </c>
      <c r="I14" s="286"/>
      <c r="J14" s="174">
        <f>D14/D13*100-100</f>
        <v>0.7132642638260478</v>
      </c>
      <c r="K14" s="164">
        <v>9204</v>
      </c>
      <c r="L14" s="286">
        <v>19627</v>
      </c>
      <c r="M14" s="286"/>
      <c r="N14" s="164">
        <f>L14-L13</f>
        <v>59</v>
      </c>
      <c r="O14" s="164">
        <v>4612</v>
      </c>
      <c r="P14" s="286">
        <v>9440</v>
      </c>
      <c r="Q14" s="286"/>
      <c r="R14" s="164">
        <f>P14-P13</f>
        <v>-24</v>
      </c>
    </row>
    <row r="15" spans="1:18" s="175" customFormat="1" ht="12.75" customHeight="1">
      <c r="A15" s="188">
        <v>21</v>
      </c>
      <c r="B15" s="231">
        <v>80942</v>
      </c>
      <c r="C15" s="237"/>
      <c r="D15" s="237">
        <f>SUM(F15:G15)</f>
        <v>173692</v>
      </c>
      <c r="E15" s="237"/>
      <c r="F15" s="166">
        <v>86925</v>
      </c>
      <c r="G15" s="166">
        <v>86767</v>
      </c>
      <c r="H15" s="237">
        <f>D15-D14</f>
        <v>1145</v>
      </c>
      <c r="I15" s="237"/>
      <c r="J15" s="190">
        <f>D15/D14*100-100</f>
        <v>0.6635873124424023</v>
      </c>
      <c r="K15" s="166">
        <v>9190</v>
      </c>
      <c r="L15" s="237">
        <v>19464</v>
      </c>
      <c r="M15" s="237"/>
      <c r="N15" s="166">
        <f>L15-L14</f>
        <v>-163</v>
      </c>
      <c r="O15" s="166">
        <v>4645</v>
      </c>
      <c r="P15" s="237">
        <v>9506</v>
      </c>
      <c r="Q15" s="237"/>
      <c r="R15" s="166">
        <f>P15-P14</f>
        <v>66</v>
      </c>
    </row>
    <row r="16" spans="1:18" s="45" customFormat="1" ht="3.75" customHeight="1">
      <c r="A16" s="176"/>
      <c r="B16" s="220"/>
      <c r="C16" s="220"/>
      <c r="D16" s="298"/>
      <c r="E16" s="298"/>
      <c r="F16" s="167"/>
      <c r="G16" s="167"/>
      <c r="H16" s="298"/>
      <c r="I16" s="298"/>
      <c r="J16" s="167"/>
      <c r="K16" s="167"/>
      <c r="L16" s="298"/>
      <c r="M16" s="298"/>
      <c r="N16" s="167"/>
      <c r="O16" s="167"/>
      <c r="P16" s="298"/>
      <c r="Q16" s="298"/>
      <c r="R16" s="167"/>
    </row>
    <row r="17" spans="1:18" s="45" customFormat="1" ht="12.75" customHeight="1">
      <c r="A17" s="299" t="s">
        <v>1</v>
      </c>
      <c r="B17" s="221" t="s">
        <v>45</v>
      </c>
      <c r="C17" s="221"/>
      <c r="D17" s="221"/>
      <c r="E17" s="221"/>
      <c r="F17" s="221"/>
      <c r="G17" s="221" t="s">
        <v>46</v>
      </c>
      <c r="H17" s="221"/>
      <c r="I17" s="221"/>
      <c r="J17" s="221"/>
      <c r="K17" s="221" t="s">
        <v>171</v>
      </c>
      <c r="L17" s="221"/>
      <c r="M17" s="221"/>
      <c r="N17" s="221"/>
      <c r="O17" s="221" t="s">
        <v>47</v>
      </c>
      <c r="P17" s="221"/>
      <c r="Q17" s="221"/>
      <c r="R17" s="291"/>
    </row>
    <row r="18" spans="1:18" s="45" customFormat="1" ht="3.75" customHeight="1">
      <c r="A18" s="300"/>
      <c r="B18" s="235" t="s">
        <v>6</v>
      </c>
      <c r="C18" s="235"/>
      <c r="D18" s="235" t="s">
        <v>167</v>
      </c>
      <c r="E18" s="292"/>
      <c r="F18" s="67"/>
      <c r="G18" s="235" t="s">
        <v>6</v>
      </c>
      <c r="H18" s="235" t="s">
        <v>167</v>
      </c>
      <c r="I18" s="292"/>
      <c r="J18" s="67"/>
      <c r="K18" s="235" t="s">
        <v>6</v>
      </c>
      <c r="L18" s="235" t="s">
        <v>167</v>
      </c>
      <c r="M18" s="292"/>
      <c r="N18" s="67"/>
      <c r="O18" s="235" t="s">
        <v>6</v>
      </c>
      <c r="P18" s="235" t="s">
        <v>167</v>
      </c>
      <c r="Q18" s="292"/>
      <c r="R18" s="171"/>
    </row>
    <row r="19" spans="1:18" s="45" customFormat="1" ht="10.5" customHeight="1">
      <c r="A19" s="300"/>
      <c r="B19" s="235"/>
      <c r="C19" s="235"/>
      <c r="D19" s="235"/>
      <c r="E19" s="235"/>
      <c r="F19" s="59" t="s">
        <v>43</v>
      </c>
      <c r="G19" s="235"/>
      <c r="H19" s="235"/>
      <c r="I19" s="235"/>
      <c r="J19" s="59" t="s">
        <v>43</v>
      </c>
      <c r="K19" s="235"/>
      <c r="L19" s="235"/>
      <c r="M19" s="235"/>
      <c r="N19" s="59" t="s">
        <v>43</v>
      </c>
      <c r="O19" s="235"/>
      <c r="P19" s="235"/>
      <c r="Q19" s="235"/>
      <c r="R19" s="54" t="s">
        <v>43</v>
      </c>
    </row>
    <row r="20" spans="1:18" s="45" customFormat="1" ht="10.5" customHeight="1">
      <c r="A20" s="300"/>
      <c r="B20" s="235"/>
      <c r="C20" s="235"/>
      <c r="D20" s="235"/>
      <c r="E20" s="235"/>
      <c r="F20" s="58" t="s">
        <v>166</v>
      </c>
      <c r="G20" s="235"/>
      <c r="H20" s="235"/>
      <c r="I20" s="235"/>
      <c r="J20" s="58" t="s">
        <v>166</v>
      </c>
      <c r="K20" s="235"/>
      <c r="L20" s="235"/>
      <c r="M20" s="235"/>
      <c r="N20" s="58" t="s">
        <v>166</v>
      </c>
      <c r="O20" s="235"/>
      <c r="P20" s="235"/>
      <c r="Q20" s="235"/>
      <c r="R20" s="57" t="s">
        <v>166</v>
      </c>
    </row>
    <row r="21" spans="1:17" s="45" customFormat="1" ht="3.75" customHeight="1">
      <c r="A21" s="48"/>
      <c r="B21" s="220"/>
      <c r="C21" s="220"/>
      <c r="D21" s="220"/>
      <c r="E21" s="220"/>
      <c r="H21" s="220"/>
      <c r="I21" s="220"/>
      <c r="L21" s="220"/>
      <c r="M21" s="220"/>
      <c r="P21" s="220"/>
      <c r="Q21" s="220"/>
    </row>
    <row r="22" spans="1:18" s="45" customFormat="1" ht="12.75" customHeight="1">
      <c r="A22" s="173">
        <v>17</v>
      </c>
      <c r="B22" s="236">
        <v>7657</v>
      </c>
      <c r="C22" s="236"/>
      <c r="D22" s="222">
        <v>15000</v>
      </c>
      <c r="E22" s="222"/>
      <c r="F22" s="164">
        <v>-117</v>
      </c>
      <c r="G22" s="164">
        <v>5036</v>
      </c>
      <c r="H22" s="222">
        <v>10111</v>
      </c>
      <c r="I22" s="222"/>
      <c r="J22" s="164">
        <v>12</v>
      </c>
      <c r="K22" s="164">
        <v>4774</v>
      </c>
      <c r="L22" s="222">
        <v>9254</v>
      </c>
      <c r="M22" s="222"/>
      <c r="N22" s="164">
        <v>254</v>
      </c>
      <c r="O22" s="164">
        <v>5091</v>
      </c>
      <c r="P22" s="222">
        <v>9519</v>
      </c>
      <c r="Q22" s="222"/>
      <c r="R22" s="164">
        <v>-83</v>
      </c>
    </row>
    <row r="23" spans="1:18" s="45" customFormat="1" ht="12.75" customHeight="1">
      <c r="A23" s="173">
        <v>18</v>
      </c>
      <c r="B23" s="236">
        <v>7950</v>
      </c>
      <c r="C23" s="236"/>
      <c r="D23" s="222">
        <v>15494</v>
      </c>
      <c r="E23" s="222"/>
      <c r="F23" s="164">
        <f>D23-D22</f>
        <v>494</v>
      </c>
      <c r="G23" s="164">
        <v>5051</v>
      </c>
      <c r="H23" s="222">
        <v>10038</v>
      </c>
      <c r="I23" s="222"/>
      <c r="J23" s="164">
        <f>H23-H22</f>
        <v>-73</v>
      </c>
      <c r="K23" s="164">
        <v>4986</v>
      </c>
      <c r="L23" s="222">
        <v>9594</v>
      </c>
      <c r="M23" s="222"/>
      <c r="N23" s="164">
        <f>L23-L22</f>
        <v>340</v>
      </c>
      <c r="O23" s="164">
        <v>5120</v>
      </c>
      <c r="P23" s="222">
        <v>9449</v>
      </c>
      <c r="Q23" s="222"/>
      <c r="R23" s="164">
        <f>P23-P22</f>
        <v>-70</v>
      </c>
    </row>
    <row r="24" spans="1:18" s="45" customFormat="1" ht="12.75" customHeight="1">
      <c r="A24" s="173">
        <v>19</v>
      </c>
      <c r="B24" s="236">
        <v>8282</v>
      </c>
      <c r="C24" s="236"/>
      <c r="D24" s="222">
        <v>16036</v>
      </c>
      <c r="E24" s="222"/>
      <c r="F24" s="164">
        <f>D24-D23</f>
        <v>542</v>
      </c>
      <c r="G24" s="164">
        <v>5087</v>
      </c>
      <c r="H24" s="222">
        <v>10040</v>
      </c>
      <c r="I24" s="222"/>
      <c r="J24" s="164">
        <f>H24-H23</f>
        <v>2</v>
      </c>
      <c r="K24" s="164">
        <v>5053</v>
      </c>
      <c r="L24" s="286">
        <v>9647</v>
      </c>
      <c r="M24" s="286"/>
      <c r="N24" s="164">
        <f>L24-L23</f>
        <v>53</v>
      </c>
      <c r="O24" s="164">
        <v>5242</v>
      </c>
      <c r="P24" s="222">
        <v>9524</v>
      </c>
      <c r="Q24" s="222"/>
      <c r="R24" s="164">
        <f>P24-P23</f>
        <v>75</v>
      </c>
    </row>
    <row r="25" spans="1:18" s="45" customFormat="1" ht="12.75" customHeight="1">
      <c r="A25" s="173">
        <v>20</v>
      </c>
      <c r="B25" s="301">
        <v>8410</v>
      </c>
      <c r="C25" s="302"/>
      <c r="D25" s="302">
        <v>16165</v>
      </c>
      <c r="E25" s="302"/>
      <c r="F25" s="164">
        <f>D25-D24</f>
        <v>129</v>
      </c>
      <c r="G25" s="147">
        <v>5090</v>
      </c>
      <c r="H25" s="302">
        <v>9978</v>
      </c>
      <c r="I25" s="302"/>
      <c r="J25" s="164">
        <f>H25-H24</f>
        <v>-62</v>
      </c>
      <c r="K25" s="147">
        <v>5256</v>
      </c>
      <c r="L25" s="286">
        <v>9929</v>
      </c>
      <c r="M25" s="286"/>
      <c r="N25" s="164">
        <f>L25-L24</f>
        <v>282</v>
      </c>
      <c r="O25" s="147">
        <v>5303</v>
      </c>
      <c r="P25" s="302">
        <v>9561</v>
      </c>
      <c r="Q25" s="302"/>
      <c r="R25" s="164">
        <f>P25-P24</f>
        <v>37</v>
      </c>
    </row>
    <row r="26" spans="1:18" s="45" customFormat="1" ht="12.75" customHeight="1">
      <c r="A26" s="188">
        <v>21</v>
      </c>
      <c r="B26" s="311">
        <v>8425</v>
      </c>
      <c r="C26" s="287"/>
      <c r="D26" s="287">
        <v>16163</v>
      </c>
      <c r="E26" s="287"/>
      <c r="F26" s="166">
        <f>D26-D25</f>
        <v>-2</v>
      </c>
      <c r="G26" s="135">
        <v>5043</v>
      </c>
      <c r="H26" s="287">
        <v>9855</v>
      </c>
      <c r="I26" s="287"/>
      <c r="J26" s="166">
        <f>H26-H25</f>
        <v>-123</v>
      </c>
      <c r="K26" s="135">
        <v>5469</v>
      </c>
      <c r="L26" s="287">
        <v>10247</v>
      </c>
      <c r="M26" s="287"/>
      <c r="N26" s="166">
        <f>L26-L25</f>
        <v>318</v>
      </c>
      <c r="O26" s="135">
        <v>5391</v>
      </c>
      <c r="P26" s="287">
        <v>9646</v>
      </c>
      <c r="Q26" s="287"/>
      <c r="R26" s="166">
        <f>P26-P25</f>
        <v>85</v>
      </c>
    </row>
    <row r="27" spans="1:17" s="45" customFormat="1" ht="3.75" customHeight="1">
      <c r="A27" s="176"/>
      <c r="B27" s="220"/>
      <c r="C27" s="220"/>
      <c r="D27" s="220"/>
      <c r="E27" s="220"/>
      <c r="H27" s="312"/>
      <c r="I27" s="312"/>
      <c r="L27" s="220"/>
      <c r="M27" s="220"/>
      <c r="P27" s="220"/>
      <c r="Q27" s="220"/>
    </row>
    <row r="28" spans="1:18" s="45" customFormat="1" ht="12.75" customHeight="1">
      <c r="A28" s="299" t="s">
        <v>1</v>
      </c>
      <c r="B28" s="221" t="s">
        <v>48</v>
      </c>
      <c r="C28" s="221"/>
      <c r="D28" s="221"/>
      <c r="E28" s="221"/>
      <c r="F28" s="221"/>
      <c r="G28" s="221" t="s">
        <v>49</v>
      </c>
      <c r="H28" s="221"/>
      <c r="I28" s="221"/>
      <c r="J28" s="221"/>
      <c r="K28" s="221" t="s">
        <v>50</v>
      </c>
      <c r="L28" s="221"/>
      <c r="M28" s="221"/>
      <c r="N28" s="221"/>
      <c r="O28" s="221" t="s">
        <v>172</v>
      </c>
      <c r="P28" s="221"/>
      <c r="Q28" s="221"/>
      <c r="R28" s="291"/>
    </row>
    <row r="29" spans="1:18" s="45" customFormat="1" ht="3.75" customHeight="1">
      <c r="A29" s="300"/>
      <c r="B29" s="235" t="s">
        <v>6</v>
      </c>
      <c r="C29" s="235"/>
      <c r="D29" s="235" t="s">
        <v>167</v>
      </c>
      <c r="E29" s="292"/>
      <c r="F29" s="67"/>
      <c r="G29" s="235" t="s">
        <v>6</v>
      </c>
      <c r="H29" s="235" t="s">
        <v>167</v>
      </c>
      <c r="I29" s="292"/>
      <c r="J29" s="67"/>
      <c r="K29" s="235" t="s">
        <v>6</v>
      </c>
      <c r="L29" s="235" t="s">
        <v>167</v>
      </c>
      <c r="M29" s="292"/>
      <c r="N29" s="67"/>
      <c r="O29" s="235" t="s">
        <v>6</v>
      </c>
      <c r="P29" s="235" t="s">
        <v>167</v>
      </c>
      <c r="Q29" s="292"/>
      <c r="R29" s="171"/>
    </row>
    <row r="30" spans="1:18" s="45" customFormat="1" ht="10.5" customHeight="1">
      <c r="A30" s="300"/>
      <c r="B30" s="235"/>
      <c r="C30" s="235"/>
      <c r="D30" s="235"/>
      <c r="E30" s="235"/>
      <c r="F30" s="59" t="s">
        <v>43</v>
      </c>
      <c r="G30" s="235"/>
      <c r="H30" s="235"/>
      <c r="I30" s="235"/>
      <c r="J30" s="59" t="s">
        <v>43</v>
      </c>
      <c r="K30" s="235"/>
      <c r="L30" s="235"/>
      <c r="M30" s="235"/>
      <c r="N30" s="59" t="s">
        <v>43</v>
      </c>
      <c r="O30" s="235"/>
      <c r="P30" s="235"/>
      <c r="Q30" s="235"/>
      <c r="R30" s="54" t="s">
        <v>43</v>
      </c>
    </row>
    <row r="31" spans="1:18" s="45" customFormat="1" ht="10.5" customHeight="1">
      <c r="A31" s="300"/>
      <c r="B31" s="235"/>
      <c r="C31" s="235"/>
      <c r="D31" s="235"/>
      <c r="E31" s="235"/>
      <c r="F31" s="58" t="s">
        <v>166</v>
      </c>
      <c r="G31" s="235"/>
      <c r="H31" s="235"/>
      <c r="I31" s="235"/>
      <c r="J31" s="58" t="s">
        <v>166</v>
      </c>
      <c r="K31" s="235"/>
      <c r="L31" s="235"/>
      <c r="M31" s="235"/>
      <c r="N31" s="58" t="s">
        <v>166</v>
      </c>
      <c r="O31" s="235"/>
      <c r="P31" s="235"/>
      <c r="Q31" s="235"/>
      <c r="R31" s="57" t="s">
        <v>166</v>
      </c>
    </row>
    <row r="32" spans="1:17" s="45" customFormat="1" ht="3.75" customHeight="1">
      <c r="A32" s="176"/>
      <c r="B32" s="220"/>
      <c r="C32" s="220"/>
      <c r="D32" s="220"/>
      <c r="E32" s="220"/>
      <c r="H32" s="220"/>
      <c r="I32" s="220"/>
      <c r="L32" s="220"/>
      <c r="M32" s="220"/>
      <c r="P32" s="220"/>
      <c r="Q32" s="220"/>
    </row>
    <row r="33" spans="1:18" s="45" customFormat="1" ht="12.75" customHeight="1">
      <c r="A33" s="173">
        <v>17</v>
      </c>
      <c r="B33" s="236">
        <v>1220</v>
      </c>
      <c r="C33" s="236"/>
      <c r="D33" s="222">
        <v>2260</v>
      </c>
      <c r="E33" s="222"/>
      <c r="F33" s="164">
        <v>-19</v>
      </c>
      <c r="G33" s="164">
        <v>5422</v>
      </c>
      <c r="H33" s="222">
        <v>12196</v>
      </c>
      <c r="I33" s="222"/>
      <c r="J33" s="164">
        <v>33</v>
      </c>
      <c r="K33" s="164">
        <v>5182</v>
      </c>
      <c r="L33" s="222">
        <v>12414</v>
      </c>
      <c r="M33" s="222"/>
      <c r="N33" s="164">
        <v>152</v>
      </c>
      <c r="O33" s="164">
        <v>5640</v>
      </c>
      <c r="P33" s="222">
        <v>13078</v>
      </c>
      <c r="Q33" s="222"/>
      <c r="R33" s="164">
        <v>78</v>
      </c>
    </row>
    <row r="34" spans="1:18" s="45" customFormat="1" ht="12.75" customHeight="1">
      <c r="A34" s="173">
        <v>18</v>
      </c>
      <c r="B34" s="236">
        <v>1260</v>
      </c>
      <c r="C34" s="236"/>
      <c r="D34" s="222">
        <v>2285</v>
      </c>
      <c r="E34" s="222"/>
      <c r="F34" s="164">
        <f>D34-D33</f>
        <v>25</v>
      </c>
      <c r="G34" s="164">
        <v>5436</v>
      </c>
      <c r="H34" s="222">
        <v>12265</v>
      </c>
      <c r="I34" s="222"/>
      <c r="J34" s="164">
        <f>H34-H33</f>
        <v>69</v>
      </c>
      <c r="K34" s="164">
        <v>5277</v>
      </c>
      <c r="L34" s="222">
        <v>12458</v>
      </c>
      <c r="M34" s="222"/>
      <c r="N34" s="164">
        <f>L34-L33</f>
        <v>44</v>
      </c>
      <c r="O34" s="164">
        <v>5696</v>
      </c>
      <c r="P34" s="222">
        <v>13105</v>
      </c>
      <c r="Q34" s="222"/>
      <c r="R34" s="164">
        <f>P34-P33</f>
        <v>27</v>
      </c>
    </row>
    <row r="35" spans="1:18" s="45" customFormat="1" ht="12.75" customHeight="1">
      <c r="A35" s="173">
        <v>19</v>
      </c>
      <c r="B35" s="236">
        <v>1473</v>
      </c>
      <c r="C35" s="236"/>
      <c r="D35" s="222">
        <v>2861</v>
      </c>
      <c r="E35" s="222"/>
      <c r="F35" s="164">
        <f>D35-D34</f>
        <v>576</v>
      </c>
      <c r="G35" s="164">
        <v>5487</v>
      </c>
      <c r="H35" s="222">
        <v>12306</v>
      </c>
      <c r="I35" s="222"/>
      <c r="J35" s="164">
        <f>H35-H34</f>
        <v>41</v>
      </c>
      <c r="K35" s="164">
        <v>5285</v>
      </c>
      <c r="L35" s="222">
        <v>12336</v>
      </c>
      <c r="M35" s="222"/>
      <c r="N35" s="164">
        <f>L35-L34</f>
        <v>-122</v>
      </c>
      <c r="O35" s="164">
        <v>5740</v>
      </c>
      <c r="P35" s="222">
        <v>13055</v>
      </c>
      <c r="Q35" s="222"/>
      <c r="R35" s="164">
        <f>P35-P34</f>
        <v>-50</v>
      </c>
    </row>
    <row r="36" spans="1:18" s="45" customFormat="1" ht="12.75" customHeight="1">
      <c r="A36" s="173">
        <v>20</v>
      </c>
      <c r="B36" s="233">
        <v>1499</v>
      </c>
      <c r="C36" s="234"/>
      <c r="D36" s="286">
        <v>2947</v>
      </c>
      <c r="E36" s="286"/>
      <c r="F36" s="164">
        <f>D36-D35</f>
        <v>86</v>
      </c>
      <c r="G36" s="164">
        <v>5696</v>
      </c>
      <c r="H36" s="286">
        <v>12655</v>
      </c>
      <c r="I36" s="286"/>
      <c r="J36" s="164">
        <f>H36-H35</f>
        <v>349</v>
      </c>
      <c r="K36" s="164">
        <v>5319</v>
      </c>
      <c r="L36" s="286">
        <v>12230</v>
      </c>
      <c r="M36" s="286"/>
      <c r="N36" s="164">
        <f>L36-L35</f>
        <v>-106</v>
      </c>
      <c r="O36" s="164">
        <v>5840</v>
      </c>
      <c r="P36" s="286">
        <v>13207</v>
      </c>
      <c r="Q36" s="286"/>
      <c r="R36" s="164">
        <f>P36-P35</f>
        <v>152</v>
      </c>
    </row>
    <row r="37" spans="1:18" s="45" customFormat="1" ht="12.75" customHeight="1">
      <c r="A37" s="188">
        <v>21</v>
      </c>
      <c r="B37" s="231">
        <v>1538</v>
      </c>
      <c r="C37" s="232"/>
      <c r="D37" s="237">
        <v>2992</v>
      </c>
      <c r="E37" s="237"/>
      <c r="F37" s="166">
        <f>D37-D36</f>
        <v>45</v>
      </c>
      <c r="G37" s="166">
        <v>5792</v>
      </c>
      <c r="H37" s="237">
        <v>12812</v>
      </c>
      <c r="I37" s="237"/>
      <c r="J37" s="166">
        <f>H37-H36</f>
        <v>157</v>
      </c>
      <c r="K37" s="166">
        <v>5403</v>
      </c>
      <c r="L37" s="237">
        <v>12288</v>
      </c>
      <c r="M37" s="237"/>
      <c r="N37" s="166">
        <f>L37-L36</f>
        <v>58</v>
      </c>
      <c r="O37" s="166">
        <v>5905</v>
      </c>
      <c r="P37" s="237">
        <v>13181</v>
      </c>
      <c r="Q37" s="237"/>
      <c r="R37" s="166">
        <f>P37-P36</f>
        <v>-26</v>
      </c>
    </row>
    <row r="38" spans="1:17" s="45" customFormat="1" ht="3.75" customHeight="1">
      <c r="A38" s="176"/>
      <c r="B38" s="220"/>
      <c r="C38" s="220"/>
      <c r="D38" s="220"/>
      <c r="E38" s="220"/>
      <c r="H38" s="220"/>
      <c r="I38" s="220"/>
      <c r="L38" s="220"/>
      <c r="M38" s="220"/>
      <c r="P38" s="220"/>
      <c r="Q38" s="220"/>
    </row>
    <row r="39" spans="1:18" s="45" customFormat="1" ht="12.75" customHeight="1">
      <c r="A39" s="299" t="s">
        <v>1</v>
      </c>
      <c r="B39" s="221" t="s">
        <v>51</v>
      </c>
      <c r="C39" s="221"/>
      <c r="D39" s="221"/>
      <c r="E39" s="221"/>
      <c r="F39" s="221"/>
      <c r="G39" s="221" t="s">
        <v>174</v>
      </c>
      <c r="H39" s="221"/>
      <c r="I39" s="221"/>
      <c r="J39" s="221"/>
      <c r="K39" s="221" t="s">
        <v>52</v>
      </c>
      <c r="L39" s="221"/>
      <c r="M39" s="221"/>
      <c r="N39" s="221"/>
      <c r="O39" s="221" t="s">
        <v>53</v>
      </c>
      <c r="P39" s="221"/>
      <c r="Q39" s="221"/>
      <c r="R39" s="291"/>
    </row>
    <row r="40" spans="1:18" s="45" customFormat="1" ht="3.75" customHeight="1">
      <c r="A40" s="300"/>
      <c r="B40" s="235" t="s">
        <v>6</v>
      </c>
      <c r="C40" s="235"/>
      <c r="D40" s="235" t="s">
        <v>167</v>
      </c>
      <c r="E40" s="292"/>
      <c r="F40" s="67"/>
      <c r="G40" s="235" t="s">
        <v>6</v>
      </c>
      <c r="H40" s="235" t="s">
        <v>167</v>
      </c>
      <c r="I40" s="292"/>
      <c r="J40" s="67"/>
      <c r="K40" s="235" t="s">
        <v>6</v>
      </c>
      <c r="L40" s="235" t="s">
        <v>167</v>
      </c>
      <c r="M40" s="292"/>
      <c r="N40" s="67"/>
      <c r="O40" s="235" t="s">
        <v>6</v>
      </c>
      <c r="P40" s="235" t="s">
        <v>167</v>
      </c>
      <c r="Q40" s="292"/>
      <c r="R40" s="171"/>
    </row>
    <row r="41" spans="1:18" s="45" customFormat="1" ht="10.5" customHeight="1">
      <c r="A41" s="300"/>
      <c r="B41" s="235"/>
      <c r="C41" s="235"/>
      <c r="D41" s="235"/>
      <c r="E41" s="235"/>
      <c r="F41" s="59" t="s">
        <v>43</v>
      </c>
      <c r="G41" s="235"/>
      <c r="H41" s="235"/>
      <c r="I41" s="235"/>
      <c r="J41" s="59" t="s">
        <v>43</v>
      </c>
      <c r="K41" s="235"/>
      <c r="L41" s="235"/>
      <c r="M41" s="235"/>
      <c r="N41" s="59" t="s">
        <v>43</v>
      </c>
      <c r="O41" s="235"/>
      <c r="P41" s="235"/>
      <c r="Q41" s="235"/>
      <c r="R41" s="54" t="s">
        <v>43</v>
      </c>
    </row>
    <row r="42" spans="1:18" s="45" customFormat="1" ht="10.5" customHeight="1">
      <c r="A42" s="300"/>
      <c r="B42" s="235"/>
      <c r="C42" s="235"/>
      <c r="D42" s="235"/>
      <c r="E42" s="235"/>
      <c r="F42" s="58" t="s">
        <v>166</v>
      </c>
      <c r="G42" s="235"/>
      <c r="H42" s="235"/>
      <c r="I42" s="235"/>
      <c r="J42" s="58" t="s">
        <v>166</v>
      </c>
      <c r="K42" s="235"/>
      <c r="L42" s="235"/>
      <c r="M42" s="235"/>
      <c r="N42" s="58" t="s">
        <v>166</v>
      </c>
      <c r="O42" s="235"/>
      <c r="P42" s="235"/>
      <c r="Q42" s="235"/>
      <c r="R42" s="57" t="s">
        <v>166</v>
      </c>
    </row>
    <row r="43" spans="1:17" s="45" customFormat="1" ht="3.75" customHeight="1">
      <c r="A43" s="48"/>
      <c r="B43" s="220"/>
      <c r="C43" s="220"/>
      <c r="D43" s="220"/>
      <c r="E43" s="220"/>
      <c r="H43" s="220"/>
      <c r="I43" s="220"/>
      <c r="L43" s="220"/>
      <c r="M43" s="220"/>
      <c r="P43" s="220"/>
      <c r="Q43" s="220"/>
    </row>
    <row r="44" spans="1:18" s="45" customFormat="1" ht="12.75" customHeight="1">
      <c r="A44" s="173">
        <v>17</v>
      </c>
      <c r="B44" s="236">
        <v>3891</v>
      </c>
      <c r="C44" s="236"/>
      <c r="D44" s="222">
        <v>8608</v>
      </c>
      <c r="E44" s="222"/>
      <c r="F44" s="164">
        <v>8</v>
      </c>
      <c r="G44" s="164">
        <v>329</v>
      </c>
      <c r="H44" s="222">
        <v>980</v>
      </c>
      <c r="I44" s="222"/>
      <c r="J44" s="164">
        <v>-93</v>
      </c>
      <c r="K44" s="164">
        <v>5884</v>
      </c>
      <c r="L44" s="222">
        <v>14938</v>
      </c>
      <c r="M44" s="222"/>
      <c r="N44" s="164">
        <v>166</v>
      </c>
      <c r="O44" s="164">
        <v>4273</v>
      </c>
      <c r="P44" s="222">
        <v>10493</v>
      </c>
      <c r="Q44" s="222"/>
      <c r="R44" s="164">
        <v>-3</v>
      </c>
    </row>
    <row r="45" spans="1:18" s="45" customFormat="1" ht="12.75" customHeight="1">
      <c r="A45" s="173">
        <v>18</v>
      </c>
      <c r="B45" s="236">
        <v>3894</v>
      </c>
      <c r="C45" s="236"/>
      <c r="D45" s="222">
        <v>8550</v>
      </c>
      <c r="E45" s="222"/>
      <c r="F45" s="164">
        <f>D45-D44</f>
        <v>-58</v>
      </c>
      <c r="G45" s="164">
        <v>332</v>
      </c>
      <c r="H45" s="222">
        <v>986</v>
      </c>
      <c r="I45" s="222"/>
      <c r="J45" s="164">
        <f>H45-H44</f>
        <v>6</v>
      </c>
      <c r="K45" s="164">
        <v>5974</v>
      </c>
      <c r="L45" s="222">
        <v>15018</v>
      </c>
      <c r="M45" s="222"/>
      <c r="N45" s="164">
        <f>L45-L44</f>
        <v>80</v>
      </c>
      <c r="O45" s="164">
        <v>4303</v>
      </c>
      <c r="P45" s="222">
        <v>10434</v>
      </c>
      <c r="Q45" s="222"/>
      <c r="R45" s="164">
        <f>P45-P44</f>
        <v>-59</v>
      </c>
    </row>
    <row r="46" spans="1:18" s="45" customFormat="1" ht="12.75" customHeight="1">
      <c r="A46" s="173">
        <v>19</v>
      </c>
      <c r="B46" s="236">
        <v>3909</v>
      </c>
      <c r="C46" s="236"/>
      <c r="D46" s="222">
        <v>8494</v>
      </c>
      <c r="E46" s="222"/>
      <c r="F46" s="164">
        <f>D46-D45</f>
        <v>-56</v>
      </c>
      <c r="G46" s="168">
        <v>363</v>
      </c>
      <c r="H46" s="236">
        <v>1045</v>
      </c>
      <c r="I46" s="236"/>
      <c r="J46" s="164">
        <f>H46-H45</f>
        <v>59</v>
      </c>
      <c r="K46" s="164">
        <v>6094</v>
      </c>
      <c r="L46" s="222">
        <v>15297</v>
      </c>
      <c r="M46" s="222"/>
      <c r="N46" s="164">
        <f>L46-L45</f>
        <v>279</v>
      </c>
      <c r="O46" s="164">
        <v>4333</v>
      </c>
      <c r="P46" s="222">
        <v>10433</v>
      </c>
      <c r="Q46" s="222"/>
      <c r="R46" s="164">
        <f>P46-P45</f>
        <v>-1</v>
      </c>
    </row>
    <row r="47" spans="1:18" s="45" customFormat="1" ht="12.75" customHeight="1">
      <c r="A47" s="173">
        <v>20</v>
      </c>
      <c r="B47" s="233">
        <v>3929</v>
      </c>
      <c r="C47" s="234"/>
      <c r="D47" s="286">
        <v>8466</v>
      </c>
      <c r="E47" s="286"/>
      <c r="F47" s="164">
        <f>D47-D46</f>
        <v>-28</v>
      </c>
      <c r="G47" s="168">
        <v>393</v>
      </c>
      <c r="H47" s="233">
        <v>1108</v>
      </c>
      <c r="I47" s="233"/>
      <c r="J47" s="164">
        <f>H47-H46</f>
        <v>63</v>
      </c>
      <c r="K47" s="164">
        <v>6252</v>
      </c>
      <c r="L47" s="286">
        <v>15501</v>
      </c>
      <c r="M47" s="286"/>
      <c r="N47" s="164">
        <f>L47-L46</f>
        <v>204</v>
      </c>
      <c r="O47" s="164">
        <v>4412</v>
      </c>
      <c r="P47" s="286">
        <v>10480</v>
      </c>
      <c r="Q47" s="286"/>
      <c r="R47" s="164">
        <f>P47-P46</f>
        <v>47</v>
      </c>
    </row>
    <row r="48" spans="1:18" s="45" customFormat="1" ht="12.75" customHeight="1">
      <c r="A48" s="188">
        <v>21</v>
      </c>
      <c r="B48" s="231">
        <v>4080</v>
      </c>
      <c r="C48" s="232"/>
      <c r="D48" s="237">
        <v>8842</v>
      </c>
      <c r="E48" s="237"/>
      <c r="F48" s="166">
        <f>D48-D47</f>
        <v>376</v>
      </c>
      <c r="G48" s="165">
        <v>393</v>
      </c>
      <c r="H48" s="231">
        <v>1129</v>
      </c>
      <c r="I48" s="231"/>
      <c r="J48" s="166">
        <f>H48-H47</f>
        <v>21</v>
      </c>
      <c r="K48" s="166">
        <v>6379</v>
      </c>
      <c r="L48" s="237">
        <v>15638</v>
      </c>
      <c r="M48" s="237"/>
      <c r="N48" s="166">
        <f>L48-L47</f>
        <v>137</v>
      </c>
      <c r="O48" s="166">
        <v>4486</v>
      </c>
      <c r="P48" s="237">
        <v>10585</v>
      </c>
      <c r="Q48" s="237"/>
      <c r="R48" s="166">
        <f>P48-P47</f>
        <v>105</v>
      </c>
    </row>
    <row r="49" spans="1:18" s="45" customFormat="1" ht="3.75" customHeight="1">
      <c r="A49" s="176"/>
      <c r="B49" s="220"/>
      <c r="C49" s="220"/>
      <c r="D49" s="220"/>
      <c r="E49" s="220"/>
      <c r="G49" s="68"/>
      <c r="H49" s="298"/>
      <c r="I49" s="298"/>
      <c r="J49" s="177"/>
      <c r="L49" s="220"/>
      <c r="M49" s="220"/>
      <c r="N49" s="178"/>
      <c r="O49" s="178"/>
      <c r="P49" s="298"/>
      <c r="Q49" s="298"/>
      <c r="R49" s="164"/>
    </row>
    <row r="50" spans="1:18" s="45" customFormat="1" ht="12.75" customHeight="1">
      <c r="A50" s="299" t="s">
        <v>1</v>
      </c>
      <c r="B50" s="221" t="s">
        <v>173</v>
      </c>
      <c r="C50" s="221"/>
      <c r="D50" s="221"/>
      <c r="E50" s="221"/>
      <c r="F50" s="221"/>
      <c r="G50" s="221" t="s">
        <v>54</v>
      </c>
      <c r="H50" s="221"/>
      <c r="I50" s="221"/>
      <c r="J50" s="291"/>
      <c r="K50" s="179"/>
      <c r="L50" s="180"/>
      <c r="M50" s="180"/>
      <c r="N50" s="180"/>
      <c r="O50" s="180"/>
      <c r="P50" s="180"/>
      <c r="Q50" s="180"/>
      <c r="R50" s="181"/>
    </row>
    <row r="51" spans="1:18" s="45" customFormat="1" ht="3.75" customHeight="1">
      <c r="A51" s="300"/>
      <c r="B51" s="235" t="s">
        <v>6</v>
      </c>
      <c r="C51" s="235"/>
      <c r="D51" s="235" t="s">
        <v>167</v>
      </c>
      <c r="E51" s="292"/>
      <c r="F51" s="182"/>
      <c r="G51" s="235" t="s">
        <v>6</v>
      </c>
      <c r="H51" s="235" t="s">
        <v>167</v>
      </c>
      <c r="I51" s="292"/>
      <c r="J51" s="171"/>
      <c r="K51" s="178"/>
      <c r="L51" s="178"/>
      <c r="M51" s="178"/>
      <c r="N51" s="178"/>
      <c r="O51" s="178"/>
      <c r="P51" s="178"/>
      <c r="Q51" s="178"/>
      <c r="R51" s="178"/>
    </row>
    <row r="52" spans="1:18" s="45" customFormat="1" ht="10.5" customHeight="1">
      <c r="A52" s="300"/>
      <c r="B52" s="235"/>
      <c r="C52" s="235"/>
      <c r="D52" s="235"/>
      <c r="E52" s="235"/>
      <c r="F52" s="59" t="s">
        <v>43</v>
      </c>
      <c r="G52" s="235"/>
      <c r="H52" s="235"/>
      <c r="I52" s="235"/>
      <c r="J52" s="54" t="s">
        <v>43</v>
      </c>
      <c r="K52" s="178"/>
      <c r="L52" s="178"/>
      <c r="M52" s="178"/>
      <c r="N52" s="178"/>
      <c r="O52" s="178"/>
      <c r="P52" s="178"/>
      <c r="Q52" s="178"/>
      <c r="R52" s="178"/>
    </row>
    <row r="53" spans="1:18" s="45" customFormat="1" ht="10.5" customHeight="1">
      <c r="A53" s="300"/>
      <c r="B53" s="235"/>
      <c r="C53" s="235"/>
      <c r="D53" s="235"/>
      <c r="E53" s="235"/>
      <c r="F53" s="58" t="s">
        <v>166</v>
      </c>
      <c r="G53" s="235"/>
      <c r="H53" s="235"/>
      <c r="I53" s="235"/>
      <c r="J53" s="57" t="s">
        <v>166</v>
      </c>
      <c r="K53" s="178"/>
      <c r="L53" s="178"/>
      <c r="M53" s="178"/>
      <c r="N53" s="178"/>
      <c r="O53" s="178"/>
      <c r="P53" s="178"/>
      <c r="Q53" s="178"/>
      <c r="R53" s="178"/>
    </row>
    <row r="54" spans="1:9" s="45" customFormat="1" ht="4.5" customHeight="1">
      <c r="A54" s="48"/>
      <c r="D54" s="220"/>
      <c r="E54" s="220"/>
      <c r="F54" s="183"/>
      <c r="G54" s="46"/>
      <c r="H54" s="220"/>
      <c r="I54" s="220"/>
    </row>
    <row r="55" spans="1:10" s="45" customFormat="1" ht="12.75" customHeight="1">
      <c r="A55" s="173">
        <v>17</v>
      </c>
      <c r="B55" s="229">
        <v>5466</v>
      </c>
      <c r="C55" s="230"/>
      <c r="D55" s="222">
        <v>13641</v>
      </c>
      <c r="E55" s="222"/>
      <c r="F55" s="168">
        <v>-143</v>
      </c>
      <c r="G55" s="169">
        <v>2737</v>
      </c>
      <c r="H55" s="222">
        <v>7278</v>
      </c>
      <c r="I55" s="222"/>
      <c r="J55" s="164">
        <v>106</v>
      </c>
    </row>
    <row r="56" spans="1:10" s="45" customFormat="1" ht="12.75" customHeight="1">
      <c r="A56" s="173">
        <v>18</v>
      </c>
      <c r="B56" s="229">
        <v>5506</v>
      </c>
      <c r="C56" s="230"/>
      <c r="D56" s="222">
        <v>13505</v>
      </c>
      <c r="E56" s="222"/>
      <c r="F56" s="168">
        <f>D56-D55</f>
        <v>-136</v>
      </c>
      <c r="G56" s="169">
        <v>2793</v>
      </c>
      <c r="H56" s="222">
        <v>7396</v>
      </c>
      <c r="I56" s="222"/>
      <c r="J56" s="164">
        <f>H56-H55</f>
        <v>118</v>
      </c>
    </row>
    <row r="57" spans="1:10" s="45" customFormat="1" ht="12.75" customHeight="1">
      <c r="A57" s="173">
        <v>19</v>
      </c>
      <c r="B57" s="229">
        <v>5588</v>
      </c>
      <c r="C57" s="230"/>
      <c r="D57" s="222">
        <v>13476</v>
      </c>
      <c r="E57" s="222"/>
      <c r="F57" s="168">
        <f>D57-D56</f>
        <v>-29</v>
      </c>
      <c r="G57" s="169">
        <v>2969</v>
      </c>
      <c r="H57" s="236">
        <v>7743</v>
      </c>
      <c r="I57" s="236"/>
      <c r="J57" s="164">
        <f>H57-H56</f>
        <v>347</v>
      </c>
    </row>
    <row r="58" spans="1:10" s="45" customFormat="1" ht="12.75" customHeight="1">
      <c r="A58" s="173">
        <v>20</v>
      </c>
      <c r="B58" s="229">
        <v>5622</v>
      </c>
      <c r="C58" s="230"/>
      <c r="D58" s="286">
        <v>13381</v>
      </c>
      <c r="E58" s="286"/>
      <c r="F58" s="168">
        <f>D58-D57</f>
        <v>-95</v>
      </c>
      <c r="G58" s="169">
        <v>3039</v>
      </c>
      <c r="H58" s="233">
        <v>7872</v>
      </c>
      <c r="I58" s="233"/>
      <c r="J58" s="164">
        <f>H58-H57</f>
        <v>129</v>
      </c>
    </row>
    <row r="59" spans="1:10" s="45" customFormat="1" ht="12.75" customHeight="1">
      <c r="A59" s="188">
        <v>21</v>
      </c>
      <c r="B59" s="315">
        <v>5726</v>
      </c>
      <c r="C59" s="316"/>
      <c r="D59" s="237">
        <v>13419</v>
      </c>
      <c r="E59" s="237"/>
      <c r="F59" s="165">
        <f>D59-D58</f>
        <v>38</v>
      </c>
      <c r="G59" s="189">
        <v>3077</v>
      </c>
      <c r="H59" s="231">
        <v>7925</v>
      </c>
      <c r="I59" s="231"/>
      <c r="J59" s="166">
        <f>H59-H58</f>
        <v>53</v>
      </c>
    </row>
    <row r="60" spans="1:10" s="45" customFormat="1" ht="3.75" customHeight="1">
      <c r="A60" s="184"/>
      <c r="B60" s="185"/>
      <c r="C60" s="185"/>
      <c r="D60" s="313"/>
      <c r="E60" s="313"/>
      <c r="F60" s="185"/>
      <c r="G60" s="186"/>
      <c r="H60" s="314"/>
      <c r="I60" s="314"/>
      <c r="J60" s="150"/>
    </row>
    <row r="61" spans="1:18" ht="13.5" customHeight="1">
      <c r="A61" s="214" t="s">
        <v>265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1"/>
    </row>
    <row r="62" spans="1:18" ht="1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spans="1:18" ht="18.75" customHeight="1">
      <c r="A63" s="33" t="s">
        <v>339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1:18" ht="12" customHeight="1">
      <c r="A64" s="191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3" t="s">
        <v>0</v>
      </c>
    </row>
    <row r="65" spans="1:18" s="45" customFormat="1" ht="12.75" customHeight="1">
      <c r="A65" s="299" t="s">
        <v>1</v>
      </c>
      <c r="B65" s="221" t="s">
        <v>124</v>
      </c>
      <c r="C65" s="221"/>
      <c r="D65" s="221"/>
      <c r="E65" s="221"/>
      <c r="F65" s="221"/>
      <c r="G65" s="221" t="s">
        <v>188</v>
      </c>
      <c r="H65" s="221"/>
      <c r="I65" s="221"/>
      <c r="J65" s="221"/>
      <c r="K65" s="221" t="s">
        <v>189</v>
      </c>
      <c r="L65" s="221"/>
      <c r="M65" s="221"/>
      <c r="N65" s="221"/>
      <c r="O65" s="221" t="s">
        <v>190</v>
      </c>
      <c r="P65" s="221"/>
      <c r="Q65" s="221"/>
      <c r="R65" s="291"/>
    </row>
    <row r="66" spans="1:18" s="45" customFormat="1" ht="13.5" customHeight="1">
      <c r="A66" s="300"/>
      <c r="B66" s="235" t="s">
        <v>3</v>
      </c>
      <c r="C66" s="235"/>
      <c r="D66" s="235"/>
      <c r="E66" s="235" t="s">
        <v>175</v>
      </c>
      <c r="F66" s="235"/>
      <c r="G66" s="235" t="s">
        <v>3</v>
      </c>
      <c r="H66" s="235"/>
      <c r="I66" s="235" t="s">
        <v>175</v>
      </c>
      <c r="J66" s="235"/>
      <c r="K66" s="235" t="s">
        <v>3</v>
      </c>
      <c r="L66" s="235"/>
      <c r="M66" s="235" t="s">
        <v>175</v>
      </c>
      <c r="N66" s="235"/>
      <c r="O66" s="235" t="s">
        <v>3</v>
      </c>
      <c r="P66" s="235"/>
      <c r="Q66" s="235" t="s">
        <v>175</v>
      </c>
      <c r="R66" s="292"/>
    </row>
    <row r="67" spans="1:18" s="45" customFormat="1" ht="3.75" customHeight="1">
      <c r="A67" s="48"/>
      <c r="B67" s="220"/>
      <c r="C67" s="220"/>
      <c r="D67" s="22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</row>
    <row r="68" spans="1:18" s="45" customFormat="1" ht="12.75" customHeight="1">
      <c r="A68" s="173" t="s">
        <v>267</v>
      </c>
      <c r="B68" s="289">
        <v>152098</v>
      </c>
      <c r="C68" s="288"/>
      <c r="D68" s="288"/>
      <c r="E68" s="223">
        <f>I68+M68+Q68</f>
        <v>100</v>
      </c>
      <c r="F68" s="223"/>
      <c r="G68" s="288">
        <v>27229</v>
      </c>
      <c r="H68" s="288"/>
      <c r="I68" s="223">
        <f>G68/B68*100</f>
        <v>17.90227353416876</v>
      </c>
      <c r="J68" s="223"/>
      <c r="K68" s="288">
        <v>111449</v>
      </c>
      <c r="L68" s="288"/>
      <c r="M68" s="223">
        <f>K68/B68*100</f>
        <v>73.27446777735408</v>
      </c>
      <c r="N68" s="223"/>
      <c r="O68" s="288">
        <v>13420</v>
      </c>
      <c r="P68" s="288"/>
      <c r="Q68" s="223">
        <f>O68/B68*100</f>
        <v>8.823258688477166</v>
      </c>
      <c r="R68" s="223"/>
    </row>
    <row r="69" spans="1:18" s="45" customFormat="1" ht="12.75" customHeight="1">
      <c r="A69" s="173" t="s">
        <v>268</v>
      </c>
      <c r="B69" s="289">
        <v>158858</v>
      </c>
      <c r="C69" s="288"/>
      <c r="D69" s="288"/>
      <c r="E69" s="223">
        <f>I69+M69+Q69</f>
        <v>100</v>
      </c>
      <c r="F69" s="223"/>
      <c r="G69" s="288">
        <v>22069</v>
      </c>
      <c r="H69" s="288"/>
      <c r="I69" s="223">
        <f>G69/B69*100</f>
        <v>13.892281156756347</v>
      </c>
      <c r="J69" s="223"/>
      <c r="K69" s="288">
        <v>116441</v>
      </c>
      <c r="L69" s="288"/>
      <c r="M69" s="223">
        <f>K69/B69*100</f>
        <v>73.29879515038587</v>
      </c>
      <c r="N69" s="223"/>
      <c r="O69" s="288">
        <v>20348</v>
      </c>
      <c r="P69" s="288"/>
      <c r="Q69" s="223">
        <f>O69/B69*100</f>
        <v>12.808923692857771</v>
      </c>
      <c r="R69" s="223"/>
    </row>
    <row r="70" spans="1:18" s="45" customFormat="1" ht="3" customHeight="1">
      <c r="A70" s="173"/>
      <c r="B70" s="68"/>
      <c r="C70" s="167"/>
      <c r="D70" s="167"/>
      <c r="E70" s="151"/>
      <c r="F70" s="151"/>
      <c r="G70" s="167"/>
      <c r="H70" s="167"/>
      <c r="I70" s="151"/>
      <c r="J70" s="151"/>
      <c r="K70" s="167"/>
      <c r="L70" s="167"/>
      <c r="M70" s="151"/>
      <c r="N70" s="151"/>
      <c r="O70" s="167"/>
      <c r="P70" s="167"/>
      <c r="Q70" s="151"/>
      <c r="R70" s="151"/>
    </row>
    <row r="71" spans="1:18" s="45" customFormat="1" ht="12.75" customHeight="1">
      <c r="A71" s="173">
        <v>17</v>
      </c>
      <c r="B71" s="289">
        <f>SUM(G71,K71,O71)</f>
        <v>168828</v>
      </c>
      <c r="C71" s="288"/>
      <c r="D71" s="288"/>
      <c r="E71" s="223">
        <f>I71+M71+Q71</f>
        <v>100</v>
      </c>
      <c r="F71" s="223"/>
      <c r="G71" s="285">
        <v>22450</v>
      </c>
      <c r="H71" s="285"/>
      <c r="I71" s="223">
        <f>G71/B71*100</f>
        <v>13.297557277228897</v>
      </c>
      <c r="J71" s="223"/>
      <c r="K71" s="285">
        <v>118139</v>
      </c>
      <c r="L71" s="285"/>
      <c r="M71" s="223">
        <f>K71/B71*100</f>
        <v>69.97595185632714</v>
      </c>
      <c r="N71" s="223"/>
      <c r="O71" s="285">
        <v>28239</v>
      </c>
      <c r="P71" s="285"/>
      <c r="Q71" s="223">
        <f>O71/B71*100</f>
        <v>16.726490866443953</v>
      </c>
      <c r="R71" s="223"/>
    </row>
    <row r="72" spans="1:18" s="45" customFormat="1" ht="12.75" customHeight="1">
      <c r="A72" s="173">
        <v>18</v>
      </c>
      <c r="B72" s="289">
        <f>SUM(G72,K72,O72)</f>
        <v>169768</v>
      </c>
      <c r="C72" s="288"/>
      <c r="D72" s="288"/>
      <c r="E72" s="223">
        <f>I72+M72+Q72</f>
        <v>100</v>
      </c>
      <c r="F72" s="223"/>
      <c r="G72" s="285">
        <v>22430</v>
      </c>
      <c r="H72" s="285"/>
      <c r="I72" s="223">
        <f>G72/B72*100</f>
        <v>13.212148343621886</v>
      </c>
      <c r="J72" s="223"/>
      <c r="K72" s="285">
        <v>117904</v>
      </c>
      <c r="L72" s="285"/>
      <c r="M72" s="223">
        <f>K72/B72*100</f>
        <v>69.45007304085576</v>
      </c>
      <c r="N72" s="223"/>
      <c r="O72" s="285">
        <v>29434</v>
      </c>
      <c r="P72" s="285"/>
      <c r="Q72" s="223">
        <f>O72/B72*100</f>
        <v>17.33777861552236</v>
      </c>
      <c r="R72" s="223"/>
    </row>
    <row r="73" spans="1:18" s="45" customFormat="1" ht="12.75" customHeight="1">
      <c r="A73" s="173">
        <v>19</v>
      </c>
      <c r="B73" s="289">
        <f>SUM(G73,K73,O73)</f>
        <v>171325</v>
      </c>
      <c r="C73" s="288"/>
      <c r="D73" s="288"/>
      <c r="E73" s="223">
        <f>I73+M73+Q73</f>
        <v>100</v>
      </c>
      <c r="F73" s="223"/>
      <c r="G73" s="285">
        <v>22601</v>
      </c>
      <c r="H73" s="285"/>
      <c r="I73" s="223">
        <f>G73/B73*100</f>
        <v>13.191886764920474</v>
      </c>
      <c r="J73" s="223"/>
      <c r="K73" s="285">
        <v>117883</v>
      </c>
      <c r="L73" s="285"/>
      <c r="M73" s="223">
        <f>K73/B73*100</f>
        <v>68.80665402013717</v>
      </c>
      <c r="N73" s="223"/>
      <c r="O73" s="285">
        <v>30841</v>
      </c>
      <c r="P73" s="285"/>
      <c r="Q73" s="223">
        <f>O73/B73*100</f>
        <v>18.00145921494236</v>
      </c>
      <c r="R73" s="223"/>
    </row>
    <row r="74" spans="1:18" s="45" customFormat="1" ht="12.75" customHeight="1">
      <c r="A74" s="173">
        <v>20</v>
      </c>
      <c r="B74" s="289">
        <f>SUM(G74,K74,O74)</f>
        <v>172547</v>
      </c>
      <c r="C74" s="288"/>
      <c r="D74" s="288"/>
      <c r="E74" s="223">
        <f>I74+M74+Q74</f>
        <v>100</v>
      </c>
      <c r="F74" s="223"/>
      <c r="G74" s="288">
        <v>22608</v>
      </c>
      <c r="H74" s="288"/>
      <c r="I74" s="223">
        <f>G74/B74*100</f>
        <v>13.10251699536938</v>
      </c>
      <c r="J74" s="223"/>
      <c r="K74" s="288">
        <v>117794</v>
      </c>
      <c r="L74" s="288"/>
      <c r="M74" s="223">
        <f>K74/B74*100</f>
        <v>68.26777631601824</v>
      </c>
      <c r="N74" s="223"/>
      <c r="O74" s="288">
        <v>32145</v>
      </c>
      <c r="P74" s="288"/>
      <c r="Q74" s="223">
        <f>O74/B74*100</f>
        <v>18.629706688612377</v>
      </c>
      <c r="R74" s="223"/>
    </row>
    <row r="75" spans="1:18" s="45" customFormat="1" ht="12.75" customHeight="1">
      <c r="A75" s="188">
        <v>21</v>
      </c>
      <c r="B75" s="297">
        <f>SUM(G75,K75,O75)</f>
        <v>173692</v>
      </c>
      <c r="C75" s="295"/>
      <c r="D75" s="295"/>
      <c r="E75" s="294">
        <f>I75+M75+Q75</f>
        <v>100</v>
      </c>
      <c r="F75" s="294"/>
      <c r="G75" s="295">
        <v>22759</v>
      </c>
      <c r="H75" s="295"/>
      <c r="I75" s="294">
        <f>G75/B75*100</f>
        <v>13.103079013426063</v>
      </c>
      <c r="J75" s="294"/>
      <c r="K75" s="295">
        <v>117413</v>
      </c>
      <c r="L75" s="295"/>
      <c r="M75" s="294">
        <f>K75/B75*100</f>
        <v>67.59839255693987</v>
      </c>
      <c r="N75" s="294"/>
      <c r="O75" s="295">
        <v>33520</v>
      </c>
      <c r="P75" s="295"/>
      <c r="Q75" s="294">
        <f>O75/B75*100</f>
        <v>19.298528429634064</v>
      </c>
      <c r="R75" s="294"/>
    </row>
    <row r="76" spans="1:18" s="45" customFormat="1" ht="3.75" customHeight="1">
      <c r="A76" s="187"/>
      <c r="B76" s="296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</row>
    <row r="77" spans="1:18" ht="12.75" customHeight="1">
      <c r="A77" s="209" t="s">
        <v>265</v>
      </c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</row>
    <row r="78" ht="13.5">
      <c r="A78" s="45"/>
    </row>
  </sheetData>
  <mergeCells count="310">
    <mergeCell ref="B59:C59"/>
    <mergeCell ref="B15:C15"/>
    <mergeCell ref="H44:I44"/>
    <mergeCell ref="H45:I45"/>
    <mergeCell ref="D48:E48"/>
    <mergeCell ref="D46:E46"/>
    <mergeCell ref="H35:I35"/>
    <mergeCell ref="D27:E27"/>
    <mergeCell ref="G29:G31"/>
    <mergeCell ref="D15:E15"/>
    <mergeCell ref="K68:L68"/>
    <mergeCell ref="K69:L69"/>
    <mergeCell ref="D54:E54"/>
    <mergeCell ref="L23:M23"/>
    <mergeCell ref="L46:M46"/>
    <mergeCell ref="H49:I49"/>
    <mergeCell ref="H58:I58"/>
    <mergeCell ref="H46:I46"/>
    <mergeCell ref="D47:E47"/>
    <mergeCell ref="H48:I48"/>
    <mergeCell ref="K17:N17"/>
    <mergeCell ref="K18:K20"/>
    <mergeCell ref="D45:E45"/>
    <mergeCell ref="L44:M44"/>
    <mergeCell ref="L27:M27"/>
    <mergeCell ref="L24:M24"/>
    <mergeCell ref="L22:M22"/>
    <mergeCell ref="L45:M45"/>
    <mergeCell ref="L43:M43"/>
    <mergeCell ref="K39:N39"/>
    <mergeCell ref="L18:M20"/>
    <mergeCell ref="L21:M21"/>
    <mergeCell ref="L38:M38"/>
    <mergeCell ref="L32:M32"/>
    <mergeCell ref="L35:M35"/>
    <mergeCell ref="K28:N28"/>
    <mergeCell ref="K29:K31"/>
    <mergeCell ref="L29:M31"/>
    <mergeCell ref="L25:M25"/>
    <mergeCell ref="L33:M33"/>
    <mergeCell ref="P38:Q38"/>
    <mergeCell ref="D51:E53"/>
    <mergeCell ref="O29:O31"/>
    <mergeCell ref="P44:Q44"/>
    <mergeCell ref="P45:Q45"/>
    <mergeCell ref="P46:Q46"/>
    <mergeCell ref="P32:Q32"/>
    <mergeCell ref="P35:Q35"/>
    <mergeCell ref="P36:Q36"/>
    <mergeCell ref="P37:Q37"/>
    <mergeCell ref="O66:P66"/>
    <mergeCell ref="D55:E55"/>
    <mergeCell ref="D56:E56"/>
    <mergeCell ref="D60:E60"/>
    <mergeCell ref="D57:E57"/>
    <mergeCell ref="D58:E58"/>
    <mergeCell ref="D59:E59"/>
    <mergeCell ref="H55:I55"/>
    <mergeCell ref="H56:I56"/>
    <mergeCell ref="H60:I60"/>
    <mergeCell ref="P43:Q43"/>
    <mergeCell ref="P22:Q22"/>
    <mergeCell ref="P33:Q33"/>
    <mergeCell ref="P34:Q34"/>
    <mergeCell ref="P23:Q23"/>
    <mergeCell ref="P27:Q27"/>
    <mergeCell ref="P29:Q31"/>
    <mergeCell ref="P24:Q24"/>
    <mergeCell ref="P25:Q25"/>
    <mergeCell ref="O28:R28"/>
    <mergeCell ref="P14:Q14"/>
    <mergeCell ref="P21:Q21"/>
    <mergeCell ref="O18:O20"/>
    <mergeCell ref="P18:Q20"/>
    <mergeCell ref="O17:R17"/>
    <mergeCell ref="L11:M11"/>
    <mergeCell ref="L12:M12"/>
    <mergeCell ref="L13:M13"/>
    <mergeCell ref="L16:M16"/>
    <mergeCell ref="L14:M14"/>
    <mergeCell ref="A65:A66"/>
    <mergeCell ref="B65:F65"/>
    <mergeCell ref="G65:J65"/>
    <mergeCell ref="K65:N65"/>
    <mergeCell ref="G66:H66"/>
    <mergeCell ref="B66:D66"/>
    <mergeCell ref="E66:F66"/>
    <mergeCell ref="Q75:R75"/>
    <mergeCell ref="O65:R65"/>
    <mergeCell ref="I66:J66"/>
    <mergeCell ref="K66:L66"/>
    <mergeCell ref="M66:N66"/>
    <mergeCell ref="Q66:R66"/>
    <mergeCell ref="O75:P75"/>
    <mergeCell ref="I72:J72"/>
    <mergeCell ref="I69:J69"/>
    <mergeCell ref="Q67:R67"/>
    <mergeCell ref="G71:H71"/>
    <mergeCell ref="H59:I59"/>
    <mergeCell ref="H57:I57"/>
    <mergeCell ref="G69:H69"/>
    <mergeCell ref="G68:H68"/>
    <mergeCell ref="I68:J68"/>
    <mergeCell ref="L47:M47"/>
    <mergeCell ref="L48:M48"/>
    <mergeCell ref="G51:G53"/>
    <mergeCell ref="G50:J50"/>
    <mergeCell ref="L34:M34"/>
    <mergeCell ref="H34:I34"/>
    <mergeCell ref="H32:I32"/>
    <mergeCell ref="H27:I27"/>
    <mergeCell ref="H33:I33"/>
    <mergeCell ref="H29:I31"/>
    <mergeCell ref="D16:E16"/>
    <mergeCell ref="D18:E20"/>
    <mergeCell ref="B17:F17"/>
    <mergeCell ref="B24:C24"/>
    <mergeCell ref="D21:E21"/>
    <mergeCell ref="H22:I22"/>
    <mergeCell ref="H24:I24"/>
    <mergeCell ref="B26:C26"/>
    <mergeCell ref="D43:E43"/>
    <mergeCell ref="D23:E23"/>
    <mergeCell ref="D35:E35"/>
    <mergeCell ref="D24:E24"/>
    <mergeCell ref="D26:E26"/>
    <mergeCell ref="B32:C32"/>
    <mergeCell ref="D32:E32"/>
    <mergeCell ref="H12:I12"/>
    <mergeCell ref="H21:I21"/>
    <mergeCell ref="H18:I20"/>
    <mergeCell ref="H14:I14"/>
    <mergeCell ref="H13:I13"/>
    <mergeCell ref="H16:I16"/>
    <mergeCell ref="D12:E12"/>
    <mergeCell ref="B13:C13"/>
    <mergeCell ref="D14:E14"/>
    <mergeCell ref="B14:C14"/>
    <mergeCell ref="O4:R4"/>
    <mergeCell ref="K4:N4"/>
    <mergeCell ref="J7:J8"/>
    <mergeCell ref="L10:M10"/>
    <mergeCell ref="P10:Q10"/>
    <mergeCell ref="R6:R7"/>
    <mergeCell ref="R8:R9"/>
    <mergeCell ref="N6:N7"/>
    <mergeCell ref="N8:N9"/>
    <mergeCell ref="A4:A9"/>
    <mergeCell ref="P5:Q9"/>
    <mergeCell ref="O5:O9"/>
    <mergeCell ref="F7:F9"/>
    <mergeCell ref="D5:G6"/>
    <mergeCell ref="H5:J6"/>
    <mergeCell ref="B4:J4"/>
    <mergeCell ref="K5:K9"/>
    <mergeCell ref="L5:M9"/>
    <mergeCell ref="B5:C9"/>
    <mergeCell ref="B28:F28"/>
    <mergeCell ref="P11:Q11"/>
    <mergeCell ref="P12:Q12"/>
    <mergeCell ref="P13:Q13"/>
    <mergeCell ref="P16:Q16"/>
    <mergeCell ref="D13:E13"/>
    <mergeCell ref="B16:C16"/>
    <mergeCell ref="B11:C11"/>
    <mergeCell ref="B12:C12"/>
    <mergeCell ref="D11:E11"/>
    <mergeCell ref="A28:A31"/>
    <mergeCell ref="G28:J28"/>
    <mergeCell ref="D29:E31"/>
    <mergeCell ref="B23:C23"/>
    <mergeCell ref="H23:I23"/>
    <mergeCell ref="B29:C31"/>
    <mergeCell ref="B25:C25"/>
    <mergeCell ref="D25:E25"/>
    <mergeCell ref="H25:I25"/>
    <mergeCell ref="B27:C27"/>
    <mergeCell ref="P40:Q42"/>
    <mergeCell ref="K40:K42"/>
    <mergeCell ref="O40:O42"/>
    <mergeCell ref="A17:A20"/>
    <mergeCell ref="G18:G20"/>
    <mergeCell ref="D22:E22"/>
    <mergeCell ref="B22:C22"/>
    <mergeCell ref="B18:C20"/>
    <mergeCell ref="B21:C21"/>
    <mergeCell ref="G17:J17"/>
    <mergeCell ref="A50:A53"/>
    <mergeCell ref="G39:J39"/>
    <mergeCell ref="G40:G42"/>
    <mergeCell ref="H51:I53"/>
    <mergeCell ref="H40:I42"/>
    <mergeCell ref="A39:A42"/>
    <mergeCell ref="D40:E42"/>
    <mergeCell ref="H43:I43"/>
    <mergeCell ref="D49:E49"/>
    <mergeCell ref="B50:F50"/>
    <mergeCell ref="B10:C10"/>
    <mergeCell ref="D10:E10"/>
    <mergeCell ref="H7:I9"/>
    <mergeCell ref="H10:I10"/>
    <mergeCell ref="G7:G9"/>
    <mergeCell ref="D7:E9"/>
    <mergeCell ref="M67:N67"/>
    <mergeCell ref="Q69:R69"/>
    <mergeCell ref="M68:N68"/>
    <mergeCell ref="O68:P68"/>
    <mergeCell ref="Q68:R68"/>
    <mergeCell ref="O69:P69"/>
    <mergeCell ref="M69:N69"/>
    <mergeCell ref="P49:Q49"/>
    <mergeCell ref="B73:D73"/>
    <mergeCell ref="E73:F73"/>
    <mergeCell ref="G73:H73"/>
    <mergeCell ref="B49:C49"/>
    <mergeCell ref="H54:I54"/>
    <mergeCell ref="L49:M49"/>
    <mergeCell ref="B72:D72"/>
    <mergeCell ref="E72:F72"/>
    <mergeCell ref="G72:H72"/>
    <mergeCell ref="B74:D74"/>
    <mergeCell ref="E74:F74"/>
    <mergeCell ref="G74:H74"/>
    <mergeCell ref="Q76:R76"/>
    <mergeCell ref="B76:D76"/>
    <mergeCell ref="E76:F76"/>
    <mergeCell ref="I74:J74"/>
    <mergeCell ref="G76:H76"/>
    <mergeCell ref="I76:J76"/>
    <mergeCell ref="B75:D75"/>
    <mergeCell ref="E75:F75"/>
    <mergeCell ref="G75:H75"/>
    <mergeCell ref="I75:J75"/>
    <mergeCell ref="K76:L76"/>
    <mergeCell ref="O76:P76"/>
    <mergeCell ref="G67:H67"/>
    <mergeCell ref="I67:J67"/>
    <mergeCell ref="O74:P74"/>
    <mergeCell ref="M75:N75"/>
    <mergeCell ref="K67:L67"/>
    <mergeCell ref="O67:P67"/>
    <mergeCell ref="O73:P73"/>
    <mergeCell ref="K75:L75"/>
    <mergeCell ref="M73:N73"/>
    <mergeCell ref="M71:N71"/>
    <mergeCell ref="M74:N74"/>
    <mergeCell ref="M76:N76"/>
    <mergeCell ref="K72:L72"/>
    <mergeCell ref="M72:N72"/>
    <mergeCell ref="K71:L71"/>
    <mergeCell ref="P48:Q48"/>
    <mergeCell ref="L36:M36"/>
    <mergeCell ref="H38:I38"/>
    <mergeCell ref="L37:M37"/>
    <mergeCell ref="P47:Q47"/>
    <mergeCell ref="H37:I37"/>
    <mergeCell ref="H47:I47"/>
    <mergeCell ref="H36:I36"/>
    <mergeCell ref="O39:R39"/>
    <mergeCell ref="L40:M42"/>
    <mergeCell ref="B71:D71"/>
    <mergeCell ref="E71:F71"/>
    <mergeCell ref="B67:D67"/>
    <mergeCell ref="E67:F67"/>
    <mergeCell ref="B68:D68"/>
    <mergeCell ref="B69:D69"/>
    <mergeCell ref="E69:F69"/>
    <mergeCell ref="E68:F68"/>
    <mergeCell ref="B36:C36"/>
    <mergeCell ref="D36:E36"/>
    <mergeCell ref="B33:C33"/>
    <mergeCell ref="Q74:R74"/>
    <mergeCell ref="I71:J71"/>
    <mergeCell ref="Q71:R71"/>
    <mergeCell ref="O72:P72"/>
    <mergeCell ref="O71:P71"/>
    <mergeCell ref="K74:L74"/>
    <mergeCell ref="Q73:R73"/>
    <mergeCell ref="I73:J73"/>
    <mergeCell ref="Q72:R72"/>
    <mergeCell ref="K73:L73"/>
    <mergeCell ref="H11:I11"/>
    <mergeCell ref="P15:Q15"/>
    <mergeCell ref="P26:Q26"/>
    <mergeCell ref="L26:M26"/>
    <mergeCell ref="H26:I26"/>
    <mergeCell ref="H15:I15"/>
    <mergeCell ref="L15:M15"/>
    <mergeCell ref="B35:C35"/>
    <mergeCell ref="B34:C34"/>
    <mergeCell ref="D34:E34"/>
    <mergeCell ref="D33:E33"/>
    <mergeCell ref="D37:E37"/>
    <mergeCell ref="B44:C44"/>
    <mergeCell ref="B45:C45"/>
    <mergeCell ref="B43:C43"/>
    <mergeCell ref="B38:C38"/>
    <mergeCell ref="D38:E38"/>
    <mergeCell ref="B40:C42"/>
    <mergeCell ref="B39:F39"/>
    <mergeCell ref="D44:E44"/>
    <mergeCell ref="B58:C58"/>
    <mergeCell ref="B57:C57"/>
    <mergeCell ref="B56:C56"/>
    <mergeCell ref="B37:C37"/>
    <mergeCell ref="B47:C47"/>
    <mergeCell ref="B55:C55"/>
    <mergeCell ref="B48:C48"/>
    <mergeCell ref="B51:C53"/>
    <mergeCell ref="B46:C46"/>
  </mergeCells>
  <printOptions/>
  <pageMargins left="0.7874015748031497" right="0.7874015748031497" top="0.7874015748031497" bottom="0.52" header="0.5118110236220472" footer="0.38"/>
  <pageSetup horizontalDpi="600" verticalDpi="600" orientation="portrait" paperSize="9" r:id="rId1"/>
  <headerFooter alignWithMargins="0">
    <oddHeader>&amp;L&amp;8 36　　　　人　口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F15" sqref="F15"/>
    </sheetView>
  </sheetViews>
  <sheetFormatPr defaultColWidth="9.00390625" defaultRowHeight="13.5"/>
  <cols>
    <col min="1" max="1" width="5.125" style="2" customWidth="1"/>
    <col min="2" max="2" width="3.625" style="2" customWidth="1"/>
    <col min="3" max="5" width="3.50390625" style="2" customWidth="1"/>
    <col min="6" max="18" width="6.625" style="2" customWidth="1"/>
    <col min="19" max="16384" width="9.00390625" style="2" customWidth="1"/>
  </cols>
  <sheetData>
    <row r="1" spans="1:18" ht="26.25" customHeight="1">
      <c r="A1" s="13" t="s">
        <v>187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2.5" customHeight="1">
      <c r="A2" s="33" t="s">
        <v>251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4"/>
      <c r="Q2" s="14"/>
      <c r="R2" s="14"/>
    </row>
    <row r="3" spans="1:15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5" customFormat="1" ht="13.5">
      <c r="A4" s="330" t="s">
        <v>158</v>
      </c>
      <c r="B4" s="269"/>
      <c r="C4" s="326" t="s">
        <v>35</v>
      </c>
      <c r="D4" s="326"/>
      <c r="E4" s="326"/>
      <c r="F4" s="326" t="s">
        <v>36</v>
      </c>
      <c r="G4" s="326"/>
      <c r="H4" s="326"/>
      <c r="I4" s="326" t="s">
        <v>39</v>
      </c>
      <c r="J4" s="326"/>
      <c r="K4" s="326"/>
      <c r="L4" s="326"/>
      <c r="M4" s="326"/>
      <c r="N4" s="326"/>
      <c r="O4" s="327"/>
    </row>
    <row r="5" spans="1:15" s="15" customFormat="1" ht="13.5">
      <c r="A5" s="281"/>
      <c r="B5" s="239"/>
      <c r="C5" s="328"/>
      <c r="D5" s="328"/>
      <c r="E5" s="328"/>
      <c r="F5" s="328" t="s">
        <v>35</v>
      </c>
      <c r="G5" s="328" t="s">
        <v>159</v>
      </c>
      <c r="H5" s="328" t="s">
        <v>160</v>
      </c>
      <c r="I5" s="328" t="s">
        <v>35</v>
      </c>
      <c r="J5" s="328" t="s">
        <v>165</v>
      </c>
      <c r="K5" s="328"/>
      <c r="L5" s="328"/>
      <c r="M5" s="328" t="s">
        <v>42</v>
      </c>
      <c r="N5" s="328"/>
      <c r="O5" s="329"/>
    </row>
    <row r="6" spans="1:15" s="15" customFormat="1" ht="13.5">
      <c r="A6" s="331"/>
      <c r="B6" s="270"/>
      <c r="C6" s="328"/>
      <c r="D6" s="328"/>
      <c r="E6" s="328"/>
      <c r="F6" s="328"/>
      <c r="G6" s="328"/>
      <c r="H6" s="328"/>
      <c r="I6" s="328"/>
      <c r="J6" s="56" t="s">
        <v>35</v>
      </c>
      <c r="K6" s="56" t="s">
        <v>161</v>
      </c>
      <c r="L6" s="56" t="s">
        <v>162</v>
      </c>
      <c r="M6" s="56" t="s">
        <v>35</v>
      </c>
      <c r="N6" s="56" t="s">
        <v>163</v>
      </c>
      <c r="O6" s="61" t="s">
        <v>164</v>
      </c>
    </row>
    <row r="7" spans="1:15" ht="3.75" customHeight="1">
      <c r="A7" s="105"/>
      <c r="B7" s="161"/>
      <c r="C7" s="105"/>
      <c r="D7" s="321"/>
      <c r="E7" s="321"/>
      <c r="F7" s="40"/>
      <c r="G7" s="40"/>
      <c r="H7" s="105"/>
      <c r="I7" s="40"/>
      <c r="J7" s="40"/>
      <c r="K7" s="105"/>
      <c r="L7" s="40"/>
      <c r="M7" s="40"/>
      <c r="N7" s="105"/>
      <c r="O7" s="40"/>
    </row>
    <row r="8" spans="1:15" ht="13.5" customHeight="1">
      <c r="A8" s="281">
        <v>16</v>
      </c>
      <c r="B8" s="239"/>
      <c r="C8" s="325">
        <f>F8+I8</f>
        <v>1999</v>
      </c>
      <c r="D8" s="325"/>
      <c r="E8" s="325"/>
      <c r="F8" s="38">
        <f>G8-H8</f>
        <v>348</v>
      </c>
      <c r="G8" s="36">
        <v>1528</v>
      </c>
      <c r="H8" s="64">
        <v>1180</v>
      </c>
      <c r="I8" s="38">
        <f>J8+M8</f>
        <v>1651</v>
      </c>
      <c r="J8" s="38">
        <f>K8-L8</f>
        <v>1719</v>
      </c>
      <c r="K8" s="55">
        <v>12023</v>
      </c>
      <c r="L8" s="38">
        <v>10304</v>
      </c>
      <c r="M8" s="38">
        <f>N8-O8</f>
        <v>-68</v>
      </c>
      <c r="N8" s="55">
        <v>552</v>
      </c>
      <c r="O8" s="38">
        <v>620</v>
      </c>
    </row>
    <row r="9" spans="1:15" ht="13.5" customHeight="1">
      <c r="A9" s="281">
        <v>17</v>
      </c>
      <c r="B9" s="239"/>
      <c r="C9" s="325">
        <f>F9+I9</f>
        <v>940</v>
      </c>
      <c r="D9" s="325"/>
      <c r="E9" s="325"/>
      <c r="F9" s="38">
        <f>G9-H9</f>
        <v>257</v>
      </c>
      <c r="G9" s="36">
        <v>1491</v>
      </c>
      <c r="H9" s="64">
        <v>1234</v>
      </c>
      <c r="I9" s="38">
        <f>J9+M9</f>
        <v>683</v>
      </c>
      <c r="J9" s="38">
        <f>K9-L9</f>
        <v>791</v>
      </c>
      <c r="K9" s="55">
        <v>10523</v>
      </c>
      <c r="L9" s="38">
        <v>9732</v>
      </c>
      <c r="M9" s="38">
        <f>N9-O9</f>
        <v>-108</v>
      </c>
      <c r="N9" s="55">
        <v>704</v>
      </c>
      <c r="O9" s="38">
        <v>812</v>
      </c>
    </row>
    <row r="10" spans="1:15" ht="13.5" customHeight="1">
      <c r="A10" s="281">
        <v>18</v>
      </c>
      <c r="B10" s="239"/>
      <c r="C10" s="325">
        <f>F10+I10</f>
        <v>1557</v>
      </c>
      <c r="D10" s="325"/>
      <c r="E10" s="325"/>
      <c r="F10" s="38">
        <f>G10-H10</f>
        <v>294</v>
      </c>
      <c r="G10" s="36">
        <v>1550</v>
      </c>
      <c r="H10" s="64">
        <v>1256</v>
      </c>
      <c r="I10" s="38">
        <f>J10+M10</f>
        <v>1263</v>
      </c>
      <c r="J10" s="38">
        <f>K10-L10</f>
        <v>1294</v>
      </c>
      <c r="K10" s="55">
        <v>11231</v>
      </c>
      <c r="L10" s="38">
        <v>9937</v>
      </c>
      <c r="M10" s="38">
        <f>N10-O10</f>
        <v>-31</v>
      </c>
      <c r="N10" s="55">
        <v>531</v>
      </c>
      <c r="O10" s="38">
        <v>562</v>
      </c>
    </row>
    <row r="11" spans="1:15" ht="13.5" customHeight="1">
      <c r="A11" s="281">
        <v>19</v>
      </c>
      <c r="B11" s="239"/>
      <c r="C11" s="325">
        <f>F11+I11</f>
        <v>1226</v>
      </c>
      <c r="D11" s="325"/>
      <c r="E11" s="325"/>
      <c r="F11" s="38">
        <f>G11-H11</f>
        <v>259</v>
      </c>
      <c r="G11" s="36">
        <v>1552</v>
      </c>
      <c r="H11" s="64">
        <v>1293</v>
      </c>
      <c r="I11" s="38">
        <f>J11+M11</f>
        <v>967</v>
      </c>
      <c r="J11" s="38">
        <f>K11-L11</f>
        <v>848</v>
      </c>
      <c r="K11" s="55">
        <v>10738</v>
      </c>
      <c r="L11" s="38">
        <v>9890</v>
      </c>
      <c r="M11" s="38">
        <f>N11-O11</f>
        <v>119</v>
      </c>
      <c r="N11" s="55">
        <v>487</v>
      </c>
      <c r="O11" s="38">
        <v>368</v>
      </c>
    </row>
    <row r="12" spans="1:15" ht="13.5" customHeight="1">
      <c r="A12" s="250">
        <v>20</v>
      </c>
      <c r="B12" s="240"/>
      <c r="C12" s="324">
        <f>F12+I12</f>
        <v>1145</v>
      </c>
      <c r="D12" s="324"/>
      <c r="E12" s="324"/>
      <c r="F12" s="9">
        <f>G12-H12</f>
        <v>288</v>
      </c>
      <c r="G12" s="6">
        <v>1569</v>
      </c>
      <c r="H12" s="8">
        <v>1281</v>
      </c>
      <c r="I12" s="9">
        <f>J12+M12</f>
        <v>857</v>
      </c>
      <c r="J12" s="9">
        <f>K12-L12</f>
        <v>745</v>
      </c>
      <c r="K12" s="30">
        <v>10635</v>
      </c>
      <c r="L12" s="9">
        <v>9890</v>
      </c>
      <c r="M12" s="9">
        <f>N12-O12</f>
        <v>112</v>
      </c>
      <c r="N12" s="30">
        <v>465</v>
      </c>
      <c r="O12" s="9">
        <v>353</v>
      </c>
    </row>
    <row r="13" spans="1:15" ht="4.5" customHeight="1">
      <c r="A13" s="43"/>
      <c r="B13" s="123"/>
      <c r="C13" s="44"/>
      <c r="D13" s="321"/>
      <c r="E13" s="321"/>
      <c r="F13" s="38"/>
      <c r="G13" s="36"/>
      <c r="H13" s="64"/>
      <c r="I13" s="38"/>
      <c r="J13" s="38"/>
      <c r="K13" s="55"/>
      <c r="L13" s="38"/>
      <c r="M13" s="38"/>
      <c r="N13" s="55"/>
      <c r="O13" s="38"/>
    </row>
    <row r="14" spans="1:15" ht="13.5" customHeight="1">
      <c r="A14" s="107">
        <v>20</v>
      </c>
      <c r="B14" s="159" t="s">
        <v>310</v>
      </c>
      <c r="C14" s="158"/>
      <c r="D14" s="319">
        <v>19</v>
      </c>
      <c r="E14" s="319"/>
      <c r="F14" s="37">
        <v>29</v>
      </c>
      <c r="G14" s="49">
        <v>151</v>
      </c>
      <c r="H14" s="153">
        <v>122</v>
      </c>
      <c r="I14" s="37">
        <v>-10</v>
      </c>
      <c r="J14" s="37">
        <v>-26</v>
      </c>
      <c r="K14" s="50">
        <v>567</v>
      </c>
      <c r="L14" s="37">
        <v>593</v>
      </c>
      <c r="M14" s="37">
        <v>16</v>
      </c>
      <c r="N14" s="50">
        <v>40</v>
      </c>
      <c r="O14" s="37">
        <v>24</v>
      </c>
    </row>
    <row r="15" spans="1:15" ht="13.5" customHeight="1">
      <c r="A15" s="43"/>
      <c r="B15" s="159" t="s">
        <v>311</v>
      </c>
      <c r="C15" s="158"/>
      <c r="D15" s="319">
        <v>51</v>
      </c>
      <c r="E15" s="319"/>
      <c r="F15" s="37">
        <v>19</v>
      </c>
      <c r="G15" s="49">
        <v>123</v>
      </c>
      <c r="H15" s="153">
        <v>104</v>
      </c>
      <c r="I15" s="37">
        <v>32</v>
      </c>
      <c r="J15" s="37">
        <v>12</v>
      </c>
      <c r="K15" s="50">
        <v>778</v>
      </c>
      <c r="L15" s="37">
        <v>766</v>
      </c>
      <c r="M15" s="37">
        <v>20</v>
      </c>
      <c r="N15" s="50">
        <v>31</v>
      </c>
      <c r="O15" s="37">
        <v>11</v>
      </c>
    </row>
    <row r="16" spans="1:15" ht="13.5" customHeight="1">
      <c r="A16" s="43"/>
      <c r="B16" s="159" t="s">
        <v>241</v>
      </c>
      <c r="C16" s="158"/>
      <c r="D16" s="319">
        <v>248</v>
      </c>
      <c r="E16" s="319"/>
      <c r="F16" s="37">
        <v>3</v>
      </c>
      <c r="G16" s="49">
        <v>108</v>
      </c>
      <c r="H16" s="153">
        <v>105</v>
      </c>
      <c r="I16" s="37">
        <v>245</v>
      </c>
      <c r="J16" s="37">
        <v>268</v>
      </c>
      <c r="K16" s="50">
        <v>1900</v>
      </c>
      <c r="L16" s="37">
        <v>1632</v>
      </c>
      <c r="M16" s="37">
        <v>-23</v>
      </c>
      <c r="N16" s="50">
        <v>58</v>
      </c>
      <c r="O16" s="37">
        <v>81</v>
      </c>
    </row>
    <row r="17" spans="1:15" ht="13.5" customHeight="1">
      <c r="A17" s="43"/>
      <c r="B17" s="159" t="s">
        <v>242</v>
      </c>
      <c r="C17" s="158"/>
      <c r="D17" s="319">
        <v>472</v>
      </c>
      <c r="E17" s="319"/>
      <c r="F17" s="37">
        <v>-4</v>
      </c>
      <c r="G17" s="49">
        <v>111</v>
      </c>
      <c r="H17" s="153">
        <v>115</v>
      </c>
      <c r="I17" s="37">
        <v>476</v>
      </c>
      <c r="J17" s="37">
        <v>470</v>
      </c>
      <c r="K17" s="50">
        <v>1626</v>
      </c>
      <c r="L17" s="37">
        <v>1156</v>
      </c>
      <c r="M17" s="37">
        <v>6</v>
      </c>
      <c r="N17" s="50">
        <v>35</v>
      </c>
      <c r="O17" s="37">
        <v>29</v>
      </c>
    </row>
    <row r="18" spans="1:15" ht="13.5" customHeight="1">
      <c r="A18" s="43"/>
      <c r="B18" s="159" t="s">
        <v>243</v>
      </c>
      <c r="C18" s="158"/>
      <c r="D18" s="319">
        <v>39</v>
      </c>
      <c r="E18" s="319"/>
      <c r="F18" s="37">
        <v>25</v>
      </c>
      <c r="G18" s="49">
        <v>116</v>
      </c>
      <c r="H18" s="153">
        <v>91</v>
      </c>
      <c r="I18" s="37">
        <v>14</v>
      </c>
      <c r="J18" s="37">
        <v>9</v>
      </c>
      <c r="K18" s="50">
        <v>749</v>
      </c>
      <c r="L18" s="37">
        <v>740</v>
      </c>
      <c r="M18" s="37">
        <v>5</v>
      </c>
      <c r="N18" s="50">
        <v>33</v>
      </c>
      <c r="O18" s="37">
        <v>28</v>
      </c>
    </row>
    <row r="19" spans="1:15" ht="13.5" customHeight="1">
      <c r="A19" s="43"/>
      <c r="B19" s="159" t="s">
        <v>244</v>
      </c>
      <c r="C19" s="158"/>
      <c r="D19" s="319">
        <v>1</v>
      </c>
      <c r="E19" s="319"/>
      <c r="F19" s="37">
        <v>35</v>
      </c>
      <c r="G19" s="49">
        <v>128</v>
      </c>
      <c r="H19" s="153">
        <v>93</v>
      </c>
      <c r="I19" s="37">
        <v>-34</v>
      </c>
      <c r="J19" s="37">
        <v>-63</v>
      </c>
      <c r="K19" s="50">
        <v>678</v>
      </c>
      <c r="L19" s="37">
        <v>741</v>
      </c>
      <c r="M19" s="37">
        <v>29</v>
      </c>
      <c r="N19" s="50">
        <v>62</v>
      </c>
      <c r="O19" s="37">
        <v>33</v>
      </c>
    </row>
    <row r="20" spans="1:15" ht="13.5" customHeight="1">
      <c r="A20" s="43"/>
      <c r="B20" s="159" t="s">
        <v>245</v>
      </c>
      <c r="C20" s="158"/>
      <c r="D20" s="319">
        <v>161</v>
      </c>
      <c r="E20" s="319"/>
      <c r="F20" s="37">
        <v>26</v>
      </c>
      <c r="G20" s="49">
        <v>130</v>
      </c>
      <c r="H20" s="153">
        <v>104</v>
      </c>
      <c r="I20" s="37">
        <v>135</v>
      </c>
      <c r="J20" s="37">
        <v>105</v>
      </c>
      <c r="K20" s="50">
        <v>853</v>
      </c>
      <c r="L20" s="37">
        <v>748</v>
      </c>
      <c r="M20" s="37">
        <v>30</v>
      </c>
      <c r="N20" s="50">
        <v>70</v>
      </c>
      <c r="O20" s="37">
        <v>40</v>
      </c>
    </row>
    <row r="21" spans="1:15" ht="13.5" customHeight="1">
      <c r="A21" s="43"/>
      <c r="B21" s="159" t="s">
        <v>246</v>
      </c>
      <c r="C21" s="158"/>
      <c r="D21" s="319">
        <v>95</v>
      </c>
      <c r="E21" s="319"/>
      <c r="F21" s="37">
        <v>39</v>
      </c>
      <c r="G21" s="49">
        <v>143</v>
      </c>
      <c r="H21" s="153">
        <v>104</v>
      </c>
      <c r="I21" s="37">
        <v>56</v>
      </c>
      <c r="J21" s="37">
        <v>64</v>
      </c>
      <c r="K21" s="50">
        <v>742</v>
      </c>
      <c r="L21" s="37">
        <v>678</v>
      </c>
      <c r="M21" s="37">
        <v>-8</v>
      </c>
      <c r="N21" s="50">
        <v>29</v>
      </c>
      <c r="O21" s="37">
        <v>37</v>
      </c>
    </row>
    <row r="22" spans="1:15" ht="13.5" customHeight="1">
      <c r="A22" s="43"/>
      <c r="B22" s="159" t="s">
        <v>247</v>
      </c>
      <c r="C22" s="158"/>
      <c r="D22" s="319">
        <v>-14</v>
      </c>
      <c r="E22" s="319"/>
      <c r="F22" s="37">
        <v>34</v>
      </c>
      <c r="G22" s="49">
        <v>153</v>
      </c>
      <c r="H22" s="153">
        <v>119</v>
      </c>
      <c r="I22" s="37">
        <v>-48</v>
      </c>
      <c r="J22" s="37">
        <v>-55</v>
      </c>
      <c r="K22" s="50">
        <v>692</v>
      </c>
      <c r="L22" s="37">
        <v>747</v>
      </c>
      <c r="M22" s="37">
        <v>7</v>
      </c>
      <c r="N22" s="50">
        <v>22</v>
      </c>
      <c r="O22" s="37">
        <v>15</v>
      </c>
    </row>
    <row r="23" spans="1:15" ht="13.5" customHeight="1">
      <c r="A23" s="43"/>
      <c r="B23" s="159" t="s">
        <v>312</v>
      </c>
      <c r="C23" s="158"/>
      <c r="D23" s="319">
        <v>-24</v>
      </c>
      <c r="E23" s="319"/>
      <c r="F23" s="37">
        <v>49</v>
      </c>
      <c r="G23" s="49">
        <v>156</v>
      </c>
      <c r="H23" s="153">
        <v>107</v>
      </c>
      <c r="I23" s="37">
        <v>-73</v>
      </c>
      <c r="J23" s="37">
        <v>-73</v>
      </c>
      <c r="K23" s="50">
        <v>720</v>
      </c>
      <c r="L23" s="37">
        <v>793</v>
      </c>
      <c r="M23" s="37">
        <v>0</v>
      </c>
      <c r="N23" s="50">
        <v>25</v>
      </c>
      <c r="O23" s="37">
        <v>25</v>
      </c>
    </row>
    <row r="24" spans="1:15" ht="13.5" customHeight="1">
      <c r="A24" s="43"/>
      <c r="B24" s="159" t="s">
        <v>313</v>
      </c>
      <c r="C24" s="158"/>
      <c r="D24" s="319">
        <v>63</v>
      </c>
      <c r="E24" s="319"/>
      <c r="F24" s="37">
        <v>31</v>
      </c>
      <c r="G24" s="49">
        <v>132</v>
      </c>
      <c r="H24" s="153">
        <v>101</v>
      </c>
      <c r="I24" s="37">
        <v>32</v>
      </c>
      <c r="J24" s="37">
        <v>25</v>
      </c>
      <c r="K24" s="50">
        <v>651</v>
      </c>
      <c r="L24" s="37">
        <v>626</v>
      </c>
      <c r="M24" s="37">
        <v>7</v>
      </c>
      <c r="N24" s="50">
        <v>17</v>
      </c>
      <c r="O24" s="37">
        <v>10</v>
      </c>
    </row>
    <row r="25" spans="1:15" ht="13.5" customHeight="1">
      <c r="A25" s="43"/>
      <c r="B25" s="159" t="s">
        <v>314</v>
      </c>
      <c r="C25" s="158"/>
      <c r="D25" s="319">
        <v>34</v>
      </c>
      <c r="E25" s="319"/>
      <c r="F25" s="37">
        <v>2</v>
      </c>
      <c r="G25" s="49">
        <v>118</v>
      </c>
      <c r="H25" s="153">
        <v>116</v>
      </c>
      <c r="I25" s="37">
        <v>32</v>
      </c>
      <c r="J25" s="37">
        <v>9</v>
      </c>
      <c r="K25" s="50">
        <v>679</v>
      </c>
      <c r="L25" s="37">
        <v>670</v>
      </c>
      <c r="M25" s="37">
        <v>23</v>
      </c>
      <c r="N25" s="50">
        <v>43</v>
      </c>
      <c r="O25" s="37">
        <v>20</v>
      </c>
    </row>
    <row r="26" spans="1:15" ht="3.75" customHeight="1">
      <c r="A26" s="96"/>
      <c r="B26" s="160"/>
      <c r="C26" s="105"/>
      <c r="D26" s="127"/>
      <c r="E26" s="43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3.5" customHeight="1">
      <c r="A27" s="204" t="s">
        <v>265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5" ht="13.5" customHeight="1">
      <c r="A28" s="208" t="s">
        <v>336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1:15" ht="13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8" ht="13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22.5" customHeight="1">
      <c r="A31" s="33" t="s">
        <v>252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14"/>
      <c r="Q31" s="14"/>
      <c r="R31" s="14"/>
    </row>
    <row r="32" spans="1:18" ht="13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 t="s">
        <v>0</v>
      </c>
      <c r="N32" s="17"/>
      <c r="O32" s="17"/>
      <c r="P32" s="17"/>
      <c r="R32" s="5"/>
    </row>
    <row r="33" spans="1:18" ht="13.5" customHeight="1">
      <c r="A33" s="269" t="s">
        <v>1</v>
      </c>
      <c r="B33" s="267" t="s">
        <v>60</v>
      </c>
      <c r="C33" s="267"/>
      <c r="D33" s="323" t="s">
        <v>56</v>
      </c>
      <c r="E33" s="323"/>
      <c r="F33" s="267" t="s">
        <v>58</v>
      </c>
      <c r="G33" s="267" t="s">
        <v>315</v>
      </c>
      <c r="H33" s="267" t="s">
        <v>316</v>
      </c>
      <c r="I33" s="267" t="s">
        <v>317</v>
      </c>
      <c r="J33" s="267" t="s">
        <v>318</v>
      </c>
      <c r="K33" s="267" t="s">
        <v>319</v>
      </c>
      <c r="L33" s="267" t="s">
        <v>320</v>
      </c>
      <c r="M33" s="317" t="s">
        <v>59</v>
      </c>
      <c r="N33" s="5"/>
      <c r="O33" s="5"/>
      <c r="P33" s="5"/>
      <c r="Q33" s="5"/>
      <c r="R33" s="5"/>
    </row>
    <row r="34" spans="1:18" ht="13.5" customHeight="1">
      <c r="A34" s="270"/>
      <c r="B34" s="268"/>
      <c r="C34" s="268"/>
      <c r="D34" s="322" t="s">
        <v>57</v>
      </c>
      <c r="E34" s="322"/>
      <c r="F34" s="268"/>
      <c r="G34" s="268"/>
      <c r="H34" s="268"/>
      <c r="I34" s="268"/>
      <c r="J34" s="268"/>
      <c r="K34" s="268"/>
      <c r="L34" s="268"/>
      <c r="M34" s="318"/>
      <c r="N34" s="5"/>
      <c r="O34" s="5"/>
      <c r="P34" s="5"/>
      <c r="Q34" s="5"/>
      <c r="R34" s="5"/>
    </row>
    <row r="35" spans="1:18" ht="3.75" customHeight="1">
      <c r="A35" s="162"/>
      <c r="B35" s="105"/>
      <c r="C35" s="105"/>
      <c r="D35" s="105"/>
      <c r="E35" s="40"/>
      <c r="F35" s="105"/>
      <c r="G35" s="105"/>
      <c r="H35" s="40"/>
      <c r="I35" s="40"/>
      <c r="J35" s="105"/>
      <c r="K35" s="40"/>
      <c r="L35" s="40"/>
      <c r="M35" s="105"/>
      <c r="N35" s="5"/>
      <c r="O35" s="5"/>
      <c r="P35" s="5"/>
      <c r="Q35" s="5"/>
      <c r="R35" s="5"/>
    </row>
    <row r="36" spans="1:18" ht="13.5" customHeight="1">
      <c r="A36" s="51">
        <v>17</v>
      </c>
      <c r="B36" s="342">
        <f>SUM(D36:M36)</f>
        <v>3304</v>
      </c>
      <c r="C36" s="342"/>
      <c r="D36" s="320">
        <v>942</v>
      </c>
      <c r="E36" s="320"/>
      <c r="F36" s="36">
        <v>1313</v>
      </c>
      <c r="G36" s="64">
        <v>125</v>
      </c>
      <c r="H36" s="36">
        <v>22</v>
      </c>
      <c r="I36" s="36">
        <v>149</v>
      </c>
      <c r="J36" s="64">
        <v>21</v>
      </c>
      <c r="K36" s="36">
        <v>35</v>
      </c>
      <c r="L36" s="36">
        <v>382</v>
      </c>
      <c r="M36" s="64">
        <v>315</v>
      </c>
      <c r="N36" s="5"/>
      <c r="O36" s="5"/>
      <c r="P36" s="5"/>
      <c r="Q36" s="5"/>
      <c r="R36" s="5"/>
    </row>
    <row r="37" spans="1:18" ht="13.5" customHeight="1">
      <c r="A37" s="51">
        <v>18</v>
      </c>
      <c r="B37" s="342">
        <f>SUM(D37:M37)</f>
        <v>3253</v>
      </c>
      <c r="C37" s="342"/>
      <c r="D37" s="320">
        <v>927</v>
      </c>
      <c r="E37" s="320"/>
      <c r="F37" s="36">
        <v>1356</v>
      </c>
      <c r="G37" s="64">
        <v>121</v>
      </c>
      <c r="H37" s="36">
        <v>24</v>
      </c>
      <c r="I37" s="36">
        <v>134</v>
      </c>
      <c r="J37" s="64">
        <v>23</v>
      </c>
      <c r="K37" s="36">
        <v>33</v>
      </c>
      <c r="L37" s="36">
        <v>329</v>
      </c>
      <c r="M37" s="64">
        <v>306</v>
      </c>
      <c r="N37" s="5"/>
      <c r="O37" s="5"/>
      <c r="P37" s="5"/>
      <c r="Q37" s="5"/>
      <c r="R37" s="5"/>
    </row>
    <row r="38" spans="1:18" ht="13.5" customHeight="1">
      <c r="A38" s="51">
        <v>19</v>
      </c>
      <c r="B38" s="342">
        <f>SUM(D38:M38)</f>
        <v>3280</v>
      </c>
      <c r="C38" s="342"/>
      <c r="D38" s="320">
        <v>941</v>
      </c>
      <c r="E38" s="320"/>
      <c r="F38" s="36">
        <v>1427</v>
      </c>
      <c r="G38" s="64">
        <v>124</v>
      </c>
      <c r="H38" s="36">
        <v>21</v>
      </c>
      <c r="I38" s="36">
        <v>113</v>
      </c>
      <c r="J38" s="64">
        <v>32</v>
      </c>
      <c r="K38" s="36">
        <v>35</v>
      </c>
      <c r="L38" s="36">
        <v>310</v>
      </c>
      <c r="M38" s="64">
        <v>277</v>
      </c>
      <c r="N38" s="5"/>
      <c r="O38" s="5"/>
      <c r="P38" s="5"/>
      <c r="Q38" s="5"/>
      <c r="R38" s="5"/>
    </row>
    <row r="39" spans="1:18" ht="13.5" customHeight="1">
      <c r="A39" s="51">
        <v>20</v>
      </c>
      <c r="B39" s="342">
        <f>SUM(D39:M39)</f>
        <v>3423</v>
      </c>
      <c r="C39" s="342"/>
      <c r="D39" s="320">
        <v>987</v>
      </c>
      <c r="E39" s="320"/>
      <c r="F39" s="36">
        <v>1494</v>
      </c>
      <c r="G39" s="64">
        <v>127</v>
      </c>
      <c r="H39" s="36">
        <v>21</v>
      </c>
      <c r="I39" s="36">
        <v>111</v>
      </c>
      <c r="J39" s="64">
        <v>54</v>
      </c>
      <c r="K39" s="36">
        <v>31</v>
      </c>
      <c r="L39" s="36">
        <v>317</v>
      </c>
      <c r="M39" s="64">
        <v>281</v>
      </c>
      <c r="N39" s="5"/>
      <c r="O39" s="5"/>
      <c r="P39" s="5"/>
      <c r="Q39" s="5"/>
      <c r="R39" s="5"/>
    </row>
    <row r="40" spans="1:18" ht="13.5" customHeight="1">
      <c r="A40" s="72">
        <v>21</v>
      </c>
      <c r="B40" s="344">
        <f>SUM(D40:M40)</f>
        <v>3576</v>
      </c>
      <c r="C40" s="344"/>
      <c r="D40" s="344">
        <v>985</v>
      </c>
      <c r="E40" s="344"/>
      <c r="F40" s="6">
        <v>1564</v>
      </c>
      <c r="G40" s="8">
        <v>131</v>
      </c>
      <c r="H40" s="6">
        <v>23</v>
      </c>
      <c r="I40" s="6">
        <v>134</v>
      </c>
      <c r="J40" s="8">
        <v>50</v>
      </c>
      <c r="K40" s="6">
        <v>32</v>
      </c>
      <c r="L40" s="6">
        <v>333</v>
      </c>
      <c r="M40" s="8">
        <v>324</v>
      </c>
      <c r="N40" s="5"/>
      <c r="O40" s="5"/>
      <c r="P40" s="5"/>
      <c r="Q40" s="5"/>
      <c r="R40" s="5"/>
    </row>
    <row r="41" spans="1:18" ht="3.75" customHeight="1">
      <c r="A41" s="163"/>
      <c r="B41" s="105"/>
      <c r="C41" s="105"/>
      <c r="D41" s="105"/>
      <c r="E41" s="40"/>
      <c r="F41" s="105"/>
      <c r="G41" s="105"/>
      <c r="H41" s="40"/>
      <c r="I41" s="40"/>
      <c r="J41" s="105"/>
      <c r="K41" s="40"/>
      <c r="L41" s="40"/>
      <c r="M41" s="105"/>
      <c r="N41" s="5"/>
      <c r="O41" s="5"/>
      <c r="P41" s="5"/>
      <c r="Q41" s="5"/>
      <c r="R41" s="5"/>
    </row>
    <row r="42" spans="1:18" ht="13.5" customHeight="1">
      <c r="A42" s="204" t="s">
        <v>266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7"/>
      <c r="O42" s="17"/>
      <c r="P42" s="17"/>
      <c r="Q42" s="17"/>
      <c r="R42" s="5"/>
    </row>
    <row r="43" spans="1:18" ht="13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ht="13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22.5" customHeight="1">
      <c r="A45" s="33" t="s">
        <v>253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14"/>
      <c r="Q45" s="14"/>
      <c r="R45" s="14"/>
    </row>
    <row r="46" spans="1:18" ht="13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3.5">
      <c r="A47" s="332" t="s">
        <v>176</v>
      </c>
      <c r="B47" s="326" t="s">
        <v>177</v>
      </c>
      <c r="C47" s="326"/>
      <c r="D47" s="326"/>
      <c r="E47" s="326"/>
      <c r="F47" s="326"/>
      <c r="G47" s="326"/>
      <c r="H47" s="326"/>
      <c r="I47" s="326"/>
      <c r="J47" s="326"/>
      <c r="K47" s="326" t="s">
        <v>178</v>
      </c>
      <c r="L47" s="326"/>
      <c r="M47" s="326"/>
      <c r="N47" s="326"/>
      <c r="O47" s="327"/>
      <c r="P47" s="5"/>
      <c r="Q47" s="5"/>
      <c r="R47" s="5"/>
    </row>
    <row r="48" spans="1:18" s="15" customFormat="1" ht="13.5">
      <c r="A48" s="333"/>
      <c r="B48" s="328" t="s">
        <v>60</v>
      </c>
      <c r="C48" s="334"/>
      <c r="D48" s="328" t="s">
        <v>37</v>
      </c>
      <c r="E48" s="334"/>
      <c r="F48" s="56" t="s">
        <v>38</v>
      </c>
      <c r="G48" s="56" t="s">
        <v>179</v>
      </c>
      <c r="H48" s="56" t="s">
        <v>180</v>
      </c>
      <c r="I48" s="56" t="s">
        <v>181</v>
      </c>
      <c r="J48" s="56" t="s">
        <v>59</v>
      </c>
      <c r="K48" s="56" t="s">
        <v>60</v>
      </c>
      <c r="L48" s="56" t="s">
        <v>40</v>
      </c>
      <c r="M48" s="56" t="s">
        <v>41</v>
      </c>
      <c r="N48" s="56" t="s">
        <v>182</v>
      </c>
      <c r="O48" s="61" t="s">
        <v>59</v>
      </c>
      <c r="P48" s="18"/>
      <c r="Q48" s="18"/>
      <c r="R48" s="18"/>
    </row>
    <row r="49" spans="1:18" ht="5.25" customHeight="1">
      <c r="A49" s="155"/>
      <c r="B49" s="244"/>
      <c r="C49" s="343"/>
      <c r="D49" s="244"/>
      <c r="E49" s="244"/>
      <c r="F49" s="40"/>
      <c r="G49" s="40"/>
      <c r="H49" s="105"/>
      <c r="I49" s="40"/>
      <c r="J49" s="40"/>
      <c r="K49" s="105"/>
      <c r="L49" s="40"/>
      <c r="M49" s="40"/>
      <c r="N49" s="105"/>
      <c r="O49" s="40"/>
      <c r="P49" s="5"/>
      <c r="Q49" s="5"/>
      <c r="R49" s="5"/>
    </row>
    <row r="50" spans="1:18" ht="13.5" customHeight="1">
      <c r="A50" s="51">
        <v>16</v>
      </c>
      <c r="B50" s="257">
        <f>SUM(D50:J50)</f>
        <v>7140</v>
      </c>
      <c r="C50" s="338"/>
      <c r="D50" s="339">
        <v>1297</v>
      </c>
      <c r="E50" s="339"/>
      <c r="F50" s="103">
        <v>915</v>
      </c>
      <c r="G50" s="103">
        <v>1826</v>
      </c>
      <c r="H50" s="124">
        <v>524</v>
      </c>
      <c r="I50" s="103">
        <v>1311</v>
      </c>
      <c r="J50" s="103">
        <v>1267</v>
      </c>
      <c r="K50" s="124">
        <f>SUM(L50:O50)</f>
        <v>29536</v>
      </c>
      <c r="L50" s="103">
        <v>8370</v>
      </c>
      <c r="M50" s="103">
        <v>7902</v>
      </c>
      <c r="N50" s="124">
        <v>3321</v>
      </c>
      <c r="O50" s="103">
        <v>9943</v>
      </c>
      <c r="P50" s="5"/>
      <c r="Q50" s="5"/>
      <c r="R50" s="5"/>
    </row>
    <row r="51" spans="1:18" ht="13.5" customHeight="1">
      <c r="A51" s="51">
        <v>17</v>
      </c>
      <c r="B51" s="257">
        <f>SUM(D51:J51)</f>
        <v>7183</v>
      </c>
      <c r="C51" s="338"/>
      <c r="D51" s="339">
        <v>1364</v>
      </c>
      <c r="E51" s="339"/>
      <c r="F51" s="103">
        <v>990</v>
      </c>
      <c r="G51" s="103">
        <v>1816</v>
      </c>
      <c r="H51" s="124">
        <v>518</v>
      </c>
      <c r="I51" s="103">
        <v>1227</v>
      </c>
      <c r="J51" s="103">
        <v>1268</v>
      </c>
      <c r="K51" s="124">
        <f>SUM(L51:O51)</f>
        <v>31788</v>
      </c>
      <c r="L51" s="103">
        <v>8581</v>
      </c>
      <c r="M51" s="103">
        <v>7708</v>
      </c>
      <c r="N51" s="124">
        <v>3474</v>
      </c>
      <c r="O51" s="103">
        <v>12025</v>
      </c>
      <c r="P51" s="5"/>
      <c r="Q51" s="5"/>
      <c r="R51" s="5"/>
    </row>
    <row r="52" spans="1:18" ht="13.5" customHeight="1">
      <c r="A52" s="51">
        <v>18</v>
      </c>
      <c r="B52" s="257">
        <f>SUM(D52:J52)</f>
        <v>7134</v>
      </c>
      <c r="C52" s="338"/>
      <c r="D52" s="339">
        <v>1338</v>
      </c>
      <c r="E52" s="339"/>
      <c r="F52" s="103">
        <v>1004</v>
      </c>
      <c r="G52" s="103">
        <v>1871</v>
      </c>
      <c r="H52" s="124">
        <v>480</v>
      </c>
      <c r="I52" s="103">
        <v>1292</v>
      </c>
      <c r="J52" s="103">
        <v>1149</v>
      </c>
      <c r="K52" s="124">
        <f>SUM(L52:O52)</f>
        <v>29275</v>
      </c>
      <c r="L52" s="103">
        <v>8833</v>
      </c>
      <c r="M52" s="103">
        <v>7852</v>
      </c>
      <c r="N52" s="124">
        <v>3433</v>
      </c>
      <c r="O52" s="103">
        <v>9157</v>
      </c>
      <c r="P52" s="5"/>
      <c r="Q52" s="5"/>
      <c r="R52" s="5"/>
    </row>
    <row r="53" spans="1:18" ht="13.5" customHeight="1">
      <c r="A53" s="51">
        <v>19</v>
      </c>
      <c r="B53" s="257">
        <v>7044</v>
      </c>
      <c r="C53" s="338"/>
      <c r="D53" s="339">
        <v>1325</v>
      </c>
      <c r="E53" s="339"/>
      <c r="F53" s="103">
        <v>996</v>
      </c>
      <c r="G53" s="103">
        <v>1777</v>
      </c>
      <c r="H53" s="124">
        <v>548</v>
      </c>
      <c r="I53" s="103">
        <v>1173</v>
      </c>
      <c r="J53" s="103">
        <f>B53-D53-F53-G53-H53-I53</f>
        <v>1225</v>
      </c>
      <c r="K53" s="124">
        <f>SUM(L53:O53)</f>
        <v>28062</v>
      </c>
      <c r="L53" s="103">
        <v>8668</v>
      </c>
      <c r="M53" s="103">
        <v>7853</v>
      </c>
      <c r="N53" s="124">
        <v>3121</v>
      </c>
      <c r="O53" s="103">
        <v>8420</v>
      </c>
      <c r="P53" s="5"/>
      <c r="Q53" s="5"/>
      <c r="R53" s="5"/>
    </row>
    <row r="54" spans="1:18" ht="13.5" customHeight="1">
      <c r="A54" s="72">
        <v>20</v>
      </c>
      <c r="B54" s="340">
        <v>7171</v>
      </c>
      <c r="C54" s="341"/>
      <c r="D54" s="340">
        <v>1365</v>
      </c>
      <c r="E54" s="340"/>
      <c r="F54" s="26">
        <v>1042</v>
      </c>
      <c r="G54" s="26">
        <v>1831</v>
      </c>
      <c r="H54" s="154">
        <v>517</v>
      </c>
      <c r="I54" s="26">
        <v>1198</v>
      </c>
      <c r="J54" s="26">
        <f>B54-D54-F54-G54-H54-I54</f>
        <v>1218</v>
      </c>
      <c r="K54" s="154">
        <f>SUM(L54:O54)</f>
        <v>28487</v>
      </c>
      <c r="L54" s="26">
        <v>8549</v>
      </c>
      <c r="M54" s="26">
        <v>7846</v>
      </c>
      <c r="N54" s="154">
        <v>3171</v>
      </c>
      <c r="O54" s="26">
        <v>8921</v>
      </c>
      <c r="P54" s="5"/>
      <c r="Q54" s="5"/>
      <c r="R54" s="5"/>
    </row>
    <row r="55" spans="1:18" ht="5.25" customHeight="1">
      <c r="A55" s="70"/>
      <c r="B55" s="335"/>
      <c r="C55" s="336"/>
      <c r="D55" s="337"/>
      <c r="E55" s="337"/>
      <c r="F55" s="96"/>
      <c r="G55" s="96"/>
      <c r="H55" s="156"/>
      <c r="I55" s="96"/>
      <c r="J55" s="96"/>
      <c r="K55" s="156"/>
      <c r="L55" s="96"/>
      <c r="M55" s="96"/>
      <c r="N55" s="156"/>
      <c r="O55" s="96"/>
      <c r="P55" s="5"/>
      <c r="Q55" s="5"/>
      <c r="R55" s="5"/>
    </row>
    <row r="56" spans="1:18" ht="13.5" customHeight="1">
      <c r="A56" s="209" t="s">
        <v>266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5"/>
      <c r="Q56" s="5"/>
      <c r="R56" s="5"/>
    </row>
    <row r="57" spans="1:16" ht="13.5">
      <c r="A57" s="208" t="s">
        <v>335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11"/>
    </row>
  </sheetData>
  <mergeCells count="75">
    <mergeCell ref="F4:H4"/>
    <mergeCell ref="D39:E39"/>
    <mergeCell ref="B39:C39"/>
    <mergeCell ref="B37:C37"/>
    <mergeCell ref="A9:B9"/>
    <mergeCell ref="A12:B12"/>
    <mergeCell ref="C11:E11"/>
    <mergeCell ref="C8:E8"/>
    <mergeCell ref="A10:B10"/>
    <mergeCell ref="A11:B11"/>
    <mergeCell ref="D49:E49"/>
    <mergeCell ref="D37:E37"/>
    <mergeCell ref="B40:C40"/>
    <mergeCell ref="D40:E40"/>
    <mergeCell ref="D38:E38"/>
    <mergeCell ref="B38:C38"/>
    <mergeCell ref="B52:C52"/>
    <mergeCell ref="D52:E52"/>
    <mergeCell ref="B51:C51"/>
    <mergeCell ref="I33:I34"/>
    <mergeCell ref="H33:H34"/>
    <mergeCell ref="B50:C50"/>
    <mergeCell ref="D50:E50"/>
    <mergeCell ref="D51:E51"/>
    <mergeCell ref="B36:C36"/>
    <mergeCell ref="B49:C49"/>
    <mergeCell ref="B55:C55"/>
    <mergeCell ref="D55:E55"/>
    <mergeCell ref="B53:C53"/>
    <mergeCell ref="D53:E53"/>
    <mergeCell ref="B54:C54"/>
    <mergeCell ref="D54:E54"/>
    <mergeCell ref="A47:A48"/>
    <mergeCell ref="B48:C48"/>
    <mergeCell ref="D48:E48"/>
    <mergeCell ref="K47:O47"/>
    <mergeCell ref="B47:J47"/>
    <mergeCell ref="I4:O4"/>
    <mergeCell ref="M5:O5"/>
    <mergeCell ref="J5:L5"/>
    <mergeCell ref="A8:B8"/>
    <mergeCell ref="I5:I6"/>
    <mergeCell ref="A4:B6"/>
    <mergeCell ref="C4:E6"/>
    <mergeCell ref="G5:G6"/>
    <mergeCell ref="F5:F6"/>
    <mergeCell ref="H5:H6"/>
    <mergeCell ref="D7:E7"/>
    <mergeCell ref="D19:E19"/>
    <mergeCell ref="D14:E14"/>
    <mergeCell ref="C12:E12"/>
    <mergeCell ref="C10:E10"/>
    <mergeCell ref="D16:E16"/>
    <mergeCell ref="D15:E15"/>
    <mergeCell ref="D18:E18"/>
    <mergeCell ref="D17:E17"/>
    <mergeCell ref="C9:E9"/>
    <mergeCell ref="D36:E36"/>
    <mergeCell ref="A33:A34"/>
    <mergeCell ref="D13:E13"/>
    <mergeCell ref="D21:E21"/>
    <mergeCell ref="B33:C34"/>
    <mergeCell ref="D22:E22"/>
    <mergeCell ref="D25:E25"/>
    <mergeCell ref="D23:E23"/>
    <mergeCell ref="D34:E34"/>
    <mergeCell ref="D33:E33"/>
    <mergeCell ref="M33:M34"/>
    <mergeCell ref="D20:E20"/>
    <mergeCell ref="G33:G34"/>
    <mergeCell ref="L33:L34"/>
    <mergeCell ref="K33:K34"/>
    <mergeCell ref="J33:J34"/>
    <mergeCell ref="F33:F34"/>
    <mergeCell ref="D24:E2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&amp;R&amp;8人　口　　　　37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F15" sqref="F15"/>
    </sheetView>
  </sheetViews>
  <sheetFormatPr defaultColWidth="9.00390625" defaultRowHeight="13.5"/>
  <cols>
    <col min="1" max="1" width="3.125" style="2" customWidth="1"/>
    <col min="2" max="2" width="9.375" style="2" customWidth="1"/>
    <col min="3" max="3" width="1.875" style="2" customWidth="1"/>
    <col min="4" max="4" width="6.875" style="2" customWidth="1"/>
    <col min="5" max="6" width="1.25" style="2" customWidth="1"/>
    <col min="7" max="7" width="7.50390625" style="2" customWidth="1"/>
    <col min="8" max="9" width="1.25" style="2" customWidth="1"/>
    <col min="10" max="10" width="7.50390625" style="2" customWidth="1"/>
    <col min="11" max="11" width="1.25" style="2" customWidth="1"/>
    <col min="12" max="12" width="12.50390625" style="2" customWidth="1"/>
    <col min="13" max="13" width="8.75390625" style="2" customWidth="1"/>
    <col min="14" max="14" width="1.25" style="2" customWidth="1"/>
    <col min="15" max="15" width="8.75390625" style="2" customWidth="1"/>
    <col min="16" max="16" width="2.125" style="2" customWidth="1"/>
    <col min="17" max="17" width="8.75390625" style="2" customWidth="1"/>
    <col min="18" max="18" width="1.25" style="2" customWidth="1"/>
    <col min="19" max="16384" width="9.00390625" style="2" customWidth="1"/>
  </cols>
  <sheetData>
    <row r="1" spans="1:18" ht="26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22.5" customHeight="1">
      <c r="A2" s="33" t="s">
        <v>340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47" t="s">
        <v>264</v>
      </c>
    </row>
    <row r="4" spans="1:18" ht="22.5" customHeight="1">
      <c r="A4" s="330" t="s">
        <v>61</v>
      </c>
      <c r="B4" s="269"/>
      <c r="C4" s="345" t="s">
        <v>8</v>
      </c>
      <c r="D4" s="345"/>
      <c r="E4" s="345"/>
      <c r="F4" s="345" t="s">
        <v>9</v>
      </c>
      <c r="G4" s="345"/>
      <c r="H4" s="345"/>
      <c r="I4" s="345" t="s">
        <v>10</v>
      </c>
      <c r="J4" s="345"/>
      <c r="K4" s="346"/>
      <c r="L4" s="196" t="s">
        <v>61</v>
      </c>
      <c r="M4" s="345" t="s">
        <v>8</v>
      </c>
      <c r="N4" s="345"/>
      <c r="O4" s="345" t="s">
        <v>9</v>
      </c>
      <c r="P4" s="345"/>
      <c r="Q4" s="345" t="s">
        <v>10</v>
      </c>
      <c r="R4" s="346"/>
    </row>
    <row r="5" spans="1:18" ht="22.5" customHeight="1">
      <c r="A5" s="349" t="s">
        <v>11</v>
      </c>
      <c r="B5" s="350"/>
      <c r="C5" s="6"/>
      <c r="D5" s="6">
        <f>SUM(G5,J5)</f>
        <v>10946</v>
      </c>
      <c r="E5" s="6"/>
      <c r="F5" s="6"/>
      <c r="G5" s="6">
        <f>SUM(G7:G19,G22:G33,O7:O28,O30:O31)</f>
        <v>5879</v>
      </c>
      <c r="H5" s="6"/>
      <c r="I5" s="6"/>
      <c r="J5" s="6">
        <f>SUM(J7:J19,J22:J33,Q7:Q28,Q30:Q31)</f>
        <v>5067</v>
      </c>
      <c r="K5" s="6"/>
      <c r="L5" s="197"/>
      <c r="M5" s="195"/>
      <c r="N5" s="195"/>
      <c r="O5" s="195"/>
      <c r="P5" s="195"/>
      <c r="Q5" s="195"/>
      <c r="R5" s="40"/>
    </row>
    <row r="6" spans="1:18" ht="5.25" customHeight="1">
      <c r="A6" s="347"/>
      <c r="B6" s="348"/>
      <c r="C6" s="153"/>
      <c r="D6" s="153"/>
      <c r="E6" s="153"/>
      <c r="F6" s="153"/>
      <c r="G6" s="153"/>
      <c r="H6" s="153"/>
      <c r="I6" s="49"/>
      <c r="J6" s="49"/>
      <c r="K6" s="49"/>
      <c r="L6" s="198"/>
      <c r="M6" s="195"/>
      <c r="N6" s="195"/>
      <c r="O6" s="195"/>
      <c r="P6" s="195"/>
      <c r="Q6" s="195"/>
      <c r="R6" s="40"/>
    </row>
    <row r="7" spans="1:18" ht="22.5" customHeight="1">
      <c r="A7" s="347" t="s">
        <v>62</v>
      </c>
      <c r="B7" s="348"/>
      <c r="C7" s="49"/>
      <c r="D7" s="49">
        <f>SUM(G7,J7)</f>
        <v>235</v>
      </c>
      <c r="E7" s="49"/>
      <c r="F7" s="49"/>
      <c r="G7" s="49">
        <v>127</v>
      </c>
      <c r="H7" s="49"/>
      <c r="I7" s="49"/>
      <c r="J7" s="49">
        <v>108</v>
      </c>
      <c r="K7" s="49"/>
      <c r="L7" s="199" t="s">
        <v>87</v>
      </c>
      <c r="M7" s="49">
        <f>SUM(O7,Q7)</f>
        <v>37</v>
      </c>
      <c r="N7" s="49"/>
      <c r="O7" s="49">
        <v>20</v>
      </c>
      <c r="P7" s="49"/>
      <c r="Q7" s="49">
        <v>17</v>
      </c>
      <c r="R7" s="40"/>
    </row>
    <row r="8" spans="1:18" ht="22.5" customHeight="1">
      <c r="A8" s="347" t="s">
        <v>63</v>
      </c>
      <c r="B8" s="348"/>
      <c r="C8" s="49"/>
      <c r="D8" s="49">
        <f aca="true" t="shared" si="0" ref="D8:D33">SUM(G8,J8)</f>
        <v>85</v>
      </c>
      <c r="E8" s="49"/>
      <c r="F8" s="49"/>
      <c r="G8" s="49">
        <v>39</v>
      </c>
      <c r="H8" s="49"/>
      <c r="I8" s="49"/>
      <c r="J8" s="49">
        <v>46</v>
      </c>
      <c r="K8" s="49"/>
      <c r="L8" s="199" t="s">
        <v>88</v>
      </c>
      <c r="M8" s="49">
        <f aca="true" t="shared" si="1" ref="M8:M30">SUM(O8,Q8)</f>
        <v>152</v>
      </c>
      <c r="N8" s="49"/>
      <c r="O8" s="49">
        <v>90</v>
      </c>
      <c r="P8" s="49"/>
      <c r="Q8" s="49">
        <v>62</v>
      </c>
      <c r="R8" s="40"/>
    </row>
    <row r="9" spans="1:18" ht="22.5" customHeight="1">
      <c r="A9" s="347" t="s">
        <v>64</v>
      </c>
      <c r="B9" s="348"/>
      <c r="C9" s="49"/>
      <c r="D9" s="49">
        <f t="shared" si="0"/>
        <v>47</v>
      </c>
      <c r="E9" s="49"/>
      <c r="F9" s="49"/>
      <c r="G9" s="49">
        <v>20</v>
      </c>
      <c r="H9" s="49"/>
      <c r="I9" s="49"/>
      <c r="J9" s="49">
        <v>27</v>
      </c>
      <c r="K9" s="49"/>
      <c r="L9" s="199" t="s">
        <v>89</v>
      </c>
      <c r="M9" s="49">
        <f t="shared" si="1"/>
        <v>80</v>
      </c>
      <c r="N9" s="49"/>
      <c r="O9" s="49">
        <v>41</v>
      </c>
      <c r="P9" s="49"/>
      <c r="Q9" s="49">
        <v>39</v>
      </c>
      <c r="R9" s="40"/>
    </row>
    <row r="10" spans="1:18" ht="22.5" customHeight="1">
      <c r="A10" s="347" t="s">
        <v>65</v>
      </c>
      <c r="B10" s="348"/>
      <c r="C10" s="49"/>
      <c r="D10" s="49">
        <f t="shared" si="0"/>
        <v>124</v>
      </c>
      <c r="E10" s="49"/>
      <c r="F10" s="49"/>
      <c r="G10" s="49">
        <v>67</v>
      </c>
      <c r="H10" s="49"/>
      <c r="I10" s="49"/>
      <c r="J10" s="49">
        <v>57</v>
      </c>
      <c r="K10" s="49"/>
      <c r="L10" s="199" t="s">
        <v>90</v>
      </c>
      <c r="M10" s="49">
        <f t="shared" si="1"/>
        <v>22</v>
      </c>
      <c r="N10" s="49"/>
      <c r="O10" s="49">
        <v>14</v>
      </c>
      <c r="P10" s="49"/>
      <c r="Q10" s="49">
        <v>8</v>
      </c>
      <c r="R10" s="40"/>
    </row>
    <row r="11" spans="1:18" ht="22.5" customHeight="1">
      <c r="A11" s="347" t="s">
        <v>66</v>
      </c>
      <c r="B11" s="348"/>
      <c r="C11" s="49"/>
      <c r="D11" s="49">
        <f t="shared" si="0"/>
        <v>58</v>
      </c>
      <c r="E11" s="49"/>
      <c r="F11" s="49"/>
      <c r="G11" s="49">
        <v>26</v>
      </c>
      <c r="H11" s="49"/>
      <c r="I11" s="49"/>
      <c r="J11" s="49">
        <v>32</v>
      </c>
      <c r="K11" s="49"/>
      <c r="L11" s="199" t="s">
        <v>91</v>
      </c>
      <c r="M11" s="49">
        <f t="shared" si="1"/>
        <v>14</v>
      </c>
      <c r="N11" s="49"/>
      <c r="O11" s="49">
        <v>9</v>
      </c>
      <c r="P11" s="49"/>
      <c r="Q11" s="49">
        <v>5</v>
      </c>
      <c r="R11" s="40"/>
    </row>
    <row r="12" spans="1:18" ht="22.5" customHeight="1">
      <c r="A12" s="347" t="s">
        <v>67</v>
      </c>
      <c r="B12" s="348"/>
      <c r="C12" s="49"/>
      <c r="D12" s="49">
        <f t="shared" si="0"/>
        <v>53</v>
      </c>
      <c r="E12" s="49"/>
      <c r="F12" s="49"/>
      <c r="G12" s="49">
        <v>27</v>
      </c>
      <c r="H12" s="49"/>
      <c r="I12" s="49"/>
      <c r="J12" s="49">
        <v>26</v>
      </c>
      <c r="K12" s="49"/>
      <c r="L12" s="199" t="s">
        <v>92</v>
      </c>
      <c r="M12" s="49">
        <f t="shared" si="1"/>
        <v>12</v>
      </c>
      <c r="N12" s="49"/>
      <c r="O12" s="49">
        <v>5</v>
      </c>
      <c r="P12" s="49"/>
      <c r="Q12" s="49">
        <v>7</v>
      </c>
      <c r="R12" s="40"/>
    </row>
    <row r="13" spans="1:18" ht="22.5" customHeight="1">
      <c r="A13" s="347" t="s">
        <v>68</v>
      </c>
      <c r="B13" s="348"/>
      <c r="C13" s="49"/>
      <c r="D13" s="49">
        <f t="shared" si="0"/>
        <v>104</v>
      </c>
      <c r="E13" s="49"/>
      <c r="F13" s="49"/>
      <c r="G13" s="49">
        <v>50</v>
      </c>
      <c r="H13" s="49"/>
      <c r="I13" s="49"/>
      <c r="J13" s="49">
        <v>54</v>
      </c>
      <c r="K13" s="49"/>
      <c r="L13" s="199" t="s">
        <v>93</v>
      </c>
      <c r="M13" s="49">
        <f t="shared" si="1"/>
        <v>13</v>
      </c>
      <c r="N13" s="49"/>
      <c r="O13" s="49">
        <v>5</v>
      </c>
      <c r="P13" s="49"/>
      <c r="Q13" s="49">
        <v>8</v>
      </c>
      <c r="R13" s="40"/>
    </row>
    <row r="14" spans="1:18" ht="22.5" customHeight="1">
      <c r="A14" s="347" t="s">
        <v>69</v>
      </c>
      <c r="B14" s="348"/>
      <c r="C14" s="49"/>
      <c r="D14" s="49">
        <f t="shared" si="0"/>
        <v>134</v>
      </c>
      <c r="E14" s="49"/>
      <c r="F14" s="49"/>
      <c r="G14" s="49">
        <v>71</v>
      </c>
      <c r="H14" s="49"/>
      <c r="I14" s="49"/>
      <c r="J14" s="49">
        <v>63</v>
      </c>
      <c r="K14" s="49"/>
      <c r="L14" s="199" t="s">
        <v>94</v>
      </c>
      <c r="M14" s="49">
        <f t="shared" si="1"/>
        <v>41</v>
      </c>
      <c r="N14" s="49"/>
      <c r="O14" s="49">
        <v>16</v>
      </c>
      <c r="P14" s="49"/>
      <c r="Q14" s="49">
        <v>25</v>
      </c>
      <c r="R14" s="40"/>
    </row>
    <row r="15" spans="1:18" ht="22.5" customHeight="1">
      <c r="A15" s="347" t="s">
        <v>70</v>
      </c>
      <c r="B15" s="348"/>
      <c r="C15" s="49"/>
      <c r="D15" s="49">
        <f t="shared" si="0"/>
        <v>121</v>
      </c>
      <c r="E15" s="49"/>
      <c r="F15" s="49"/>
      <c r="G15" s="49">
        <v>67</v>
      </c>
      <c r="H15" s="49"/>
      <c r="I15" s="49"/>
      <c r="J15" s="49">
        <v>54</v>
      </c>
      <c r="K15" s="49"/>
      <c r="L15" s="199" t="s">
        <v>95</v>
      </c>
      <c r="M15" s="49">
        <f t="shared" si="1"/>
        <v>79</v>
      </c>
      <c r="N15" s="49"/>
      <c r="O15" s="49">
        <v>47</v>
      </c>
      <c r="P15" s="49"/>
      <c r="Q15" s="49">
        <v>32</v>
      </c>
      <c r="R15" s="40"/>
    </row>
    <row r="16" spans="1:18" ht="22.5" customHeight="1">
      <c r="A16" s="347" t="s">
        <v>71</v>
      </c>
      <c r="B16" s="348"/>
      <c r="C16" s="49"/>
      <c r="D16" s="49">
        <f t="shared" si="0"/>
        <v>95</v>
      </c>
      <c r="E16" s="49"/>
      <c r="F16" s="49"/>
      <c r="G16" s="49">
        <v>49</v>
      </c>
      <c r="H16" s="49"/>
      <c r="I16" s="49"/>
      <c r="J16" s="49">
        <v>46</v>
      </c>
      <c r="K16" s="49"/>
      <c r="L16" s="199" t="s">
        <v>96</v>
      </c>
      <c r="M16" s="49">
        <f t="shared" si="1"/>
        <v>33</v>
      </c>
      <c r="N16" s="49"/>
      <c r="O16" s="49">
        <v>15</v>
      </c>
      <c r="P16" s="49"/>
      <c r="Q16" s="49">
        <v>18</v>
      </c>
      <c r="R16" s="40"/>
    </row>
    <row r="17" spans="1:18" ht="22.5" customHeight="1">
      <c r="A17" s="347" t="s">
        <v>72</v>
      </c>
      <c r="B17" s="348"/>
      <c r="C17" s="49"/>
      <c r="D17" s="49">
        <f t="shared" si="0"/>
        <v>657</v>
      </c>
      <c r="E17" s="49"/>
      <c r="F17" s="49"/>
      <c r="G17" s="49">
        <v>378</v>
      </c>
      <c r="H17" s="49"/>
      <c r="I17" s="49"/>
      <c r="J17" s="49">
        <v>279</v>
      </c>
      <c r="K17" s="49"/>
      <c r="L17" s="199" t="s">
        <v>97</v>
      </c>
      <c r="M17" s="49">
        <f t="shared" si="1"/>
        <v>8</v>
      </c>
      <c r="N17" s="49"/>
      <c r="O17" s="49">
        <v>2</v>
      </c>
      <c r="P17" s="49"/>
      <c r="Q17" s="49">
        <v>6</v>
      </c>
      <c r="R17" s="40"/>
    </row>
    <row r="18" spans="1:18" ht="22.5" customHeight="1">
      <c r="A18" s="347" t="s">
        <v>112</v>
      </c>
      <c r="B18" s="348"/>
      <c r="C18" s="49"/>
      <c r="D18" s="49">
        <f t="shared" si="0"/>
        <v>363</v>
      </c>
      <c r="E18" s="49"/>
      <c r="F18" s="49"/>
      <c r="G18" s="49">
        <v>209</v>
      </c>
      <c r="H18" s="49"/>
      <c r="I18" s="49"/>
      <c r="J18" s="49">
        <v>154</v>
      </c>
      <c r="K18" s="49"/>
      <c r="L18" s="199" t="s">
        <v>98</v>
      </c>
      <c r="M18" s="49">
        <f t="shared" si="1"/>
        <v>27</v>
      </c>
      <c r="N18" s="49"/>
      <c r="O18" s="49">
        <v>14</v>
      </c>
      <c r="P18" s="49"/>
      <c r="Q18" s="49">
        <v>13</v>
      </c>
      <c r="R18" s="40"/>
    </row>
    <row r="19" spans="1:18" ht="22.5" customHeight="1">
      <c r="A19" s="347" t="s">
        <v>73</v>
      </c>
      <c r="B19" s="348"/>
      <c r="C19" s="49"/>
      <c r="D19" s="49">
        <f t="shared" si="0"/>
        <v>6059</v>
      </c>
      <c r="E19" s="49"/>
      <c r="F19" s="49"/>
      <c r="G19" s="49">
        <v>3219</v>
      </c>
      <c r="H19" s="49"/>
      <c r="I19" s="49"/>
      <c r="J19" s="49">
        <v>2840</v>
      </c>
      <c r="K19" s="49"/>
      <c r="L19" s="199" t="s">
        <v>99</v>
      </c>
      <c r="M19" s="49">
        <f t="shared" si="1"/>
        <v>24</v>
      </c>
      <c r="N19" s="49"/>
      <c r="O19" s="49">
        <v>13</v>
      </c>
      <c r="P19" s="49"/>
      <c r="Q19" s="49">
        <v>11</v>
      </c>
      <c r="R19" s="40"/>
    </row>
    <row r="20" spans="1:18" ht="22.5" customHeight="1">
      <c r="A20" s="201"/>
      <c r="B20" s="202" t="s">
        <v>111</v>
      </c>
      <c r="C20" s="49" t="s">
        <v>321</v>
      </c>
      <c r="D20" s="49">
        <f t="shared" si="0"/>
        <v>1437</v>
      </c>
      <c r="E20" s="49" t="s">
        <v>322</v>
      </c>
      <c r="F20" s="49" t="s">
        <v>323</v>
      </c>
      <c r="G20" s="49">
        <v>799</v>
      </c>
      <c r="H20" s="49" t="s">
        <v>324</v>
      </c>
      <c r="I20" s="49" t="s">
        <v>323</v>
      </c>
      <c r="J20" s="49">
        <v>638</v>
      </c>
      <c r="K20" s="49" t="s">
        <v>324</v>
      </c>
      <c r="L20" s="199" t="s">
        <v>100</v>
      </c>
      <c r="M20" s="49">
        <f t="shared" si="1"/>
        <v>13</v>
      </c>
      <c r="N20" s="49"/>
      <c r="O20" s="49">
        <v>6</v>
      </c>
      <c r="P20" s="49"/>
      <c r="Q20" s="49">
        <v>7</v>
      </c>
      <c r="R20" s="40"/>
    </row>
    <row r="21" spans="1:18" ht="22.5" customHeight="1">
      <c r="A21" s="201"/>
      <c r="B21" s="202" t="s">
        <v>74</v>
      </c>
      <c r="C21" s="49" t="s">
        <v>325</v>
      </c>
      <c r="D21" s="49">
        <f t="shared" si="0"/>
        <v>4622</v>
      </c>
      <c r="E21" s="49" t="s">
        <v>326</v>
      </c>
      <c r="F21" s="49" t="s">
        <v>327</v>
      </c>
      <c r="G21" s="49">
        <v>2420</v>
      </c>
      <c r="H21" s="49" t="s">
        <v>328</v>
      </c>
      <c r="I21" s="49" t="s">
        <v>327</v>
      </c>
      <c r="J21" s="49">
        <v>2202</v>
      </c>
      <c r="K21" s="49" t="s">
        <v>328</v>
      </c>
      <c r="L21" s="199" t="s">
        <v>101</v>
      </c>
      <c r="M21" s="49">
        <f t="shared" si="1"/>
        <v>131</v>
      </c>
      <c r="N21" s="49"/>
      <c r="O21" s="49">
        <v>75</v>
      </c>
      <c r="P21" s="49"/>
      <c r="Q21" s="49">
        <v>56</v>
      </c>
      <c r="R21" s="40"/>
    </row>
    <row r="22" spans="1:18" ht="22.5" customHeight="1">
      <c r="A22" s="347" t="s">
        <v>75</v>
      </c>
      <c r="B22" s="348"/>
      <c r="C22" s="49"/>
      <c r="D22" s="49">
        <f t="shared" si="0"/>
        <v>755</v>
      </c>
      <c r="E22" s="49"/>
      <c r="F22" s="49"/>
      <c r="G22" s="49">
        <v>442</v>
      </c>
      <c r="H22" s="49"/>
      <c r="I22" s="49"/>
      <c r="J22" s="49">
        <v>313</v>
      </c>
      <c r="K22" s="49"/>
      <c r="L22" s="199" t="s">
        <v>102</v>
      </c>
      <c r="M22" s="49">
        <f t="shared" si="1"/>
        <v>10</v>
      </c>
      <c r="N22" s="49"/>
      <c r="O22" s="49">
        <v>4</v>
      </c>
      <c r="P22" s="49"/>
      <c r="Q22" s="49">
        <v>6</v>
      </c>
      <c r="R22" s="40"/>
    </row>
    <row r="23" spans="1:18" ht="22.5" customHeight="1">
      <c r="A23" s="347" t="s">
        <v>76</v>
      </c>
      <c r="B23" s="348"/>
      <c r="C23" s="49"/>
      <c r="D23" s="49">
        <f t="shared" si="0"/>
        <v>95</v>
      </c>
      <c r="E23" s="49"/>
      <c r="F23" s="49"/>
      <c r="G23" s="49">
        <v>47</v>
      </c>
      <c r="H23" s="49"/>
      <c r="I23" s="49"/>
      <c r="J23" s="49">
        <v>48</v>
      </c>
      <c r="K23" s="49"/>
      <c r="L23" s="199" t="s">
        <v>103</v>
      </c>
      <c r="M23" s="49">
        <f t="shared" si="1"/>
        <v>34</v>
      </c>
      <c r="N23" s="49"/>
      <c r="O23" s="49">
        <v>19</v>
      </c>
      <c r="P23" s="49"/>
      <c r="Q23" s="49">
        <v>15</v>
      </c>
      <c r="R23" s="40"/>
    </row>
    <row r="24" spans="1:18" ht="22.5" customHeight="1">
      <c r="A24" s="347" t="s">
        <v>77</v>
      </c>
      <c r="B24" s="348"/>
      <c r="C24" s="49"/>
      <c r="D24" s="49">
        <f t="shared" si="0"/>
        <v>37</v>
      </c>
      <c r="E24" s="49"/>
      <c r="F24" s="49"/>
      <c r="G24" s="49">
        <v>16</v>
      </c>
      <c r="H24" s="49"/>
      <c r="I24" s="49"/>
      <c r="J24" s="49">
        <v>21</v>
      </c>
      <c r="K24" s="49"/>
      <c r="L24" s="199" t="s">
        <v>104</v>
      </c>
      <c r="M24" s="49">
        <f t="shared" si="1"/>
        <v>47</v>
      </c>
      <c r="N24" s="49"/>
      <c r="O24" s="49">
        <v>23</v>
      </c>
      <c r="P24" s="49"/>
      <c r="Q24" s="49">
        <v>24</v>
      </c>
      <c r="R24" s="40"/>
    </row>
    <row r="25" spans="1:18" ht="22.5" customHeight="1">
      <c r="A25" s="347" t="s">
        <v>78</v>
      </c>
      <c r="B25" s="348"/>
      <c r="C25" s="49"/>
      <c r="D25" s="49">
        <f t="shared" si="0"/>
        <v>28</v>
      </c>
      <c r="E25" s="49"/>
      <c r="F25" s="49"/>
      <c r="G25" s="49">
        <v>13</v>
      </c>
      <c r="H25" s="49"/>
      <c r="I25" s="49"/>
      <c r="J25" s="49">
        <v>15</v>
      </c>
      <c r="K25" s="49"/>
      <c r="L25" s="199" t="s">
        <v>105</v>
      </c>
      <c r="M25" s="49">
        <f t="shared" si="1"/>
        <v>31</v>
      </c>
      <c r="N25" s="49"/>
      <c r="O25" s="49">
        <v>16</v>
      </c>
      <c r="P25" s="49"/>
      <c r="Q25" s="49">
        <v>15</v>
      </c>
      <c r="R25" s="40"/>
    </row>
    <row r="26" spans="1:18" ht="22.5" customHeight="1">
      <c r="A26" s="347" t="s">
        <v>79</v>
      </c>
      <c r="B26" s="348"/>
      <c r="C26" s="49"/>
      <c r="D26" s="49">
        <f t="shared" si="0"/>
        <v>13</v>
      </c>
      <c r="E26" s="49"/>
      <c r="F26" s="49"/>
      <c r="G26" s="49">
        <v>7</v>
      </c>
      <c r="H26" s="49"/>
      <c r="I26" s="49"/>
      <c r="J26" s="49">
        <v>6</v>
      </c>
      <c r="K26" s="49"/>
      <c r="L26" s="199" t="s">
        <v>106</v>
      </c>
      <c r="M26" s="49">
        <f t="shared" si="1"/>
        <v>24</v>
      </c>
      <c r="N26" s="49"/>
      <c r="O26" s="49">
        <v>9</v>
      </c>
      <c r="P26" s="49"/>
      <c r="Q26" s="49">
        <v>15</v>
      </c>
      <c r="R26" s="40"/>
    </row>
    <row r="27" spans="1:18" ht="22.5" customHeight="1">
      <c r="A27" s="347" t="s">
        <v>80</v>
      </c>
      <c r="B27" s="348"/>
      <c r="C27" s="49"/>
      <c r="D27" s="49">
        <f t="shared" si="0"/>
        <v>121</v>
      </c>
      <c r="E27" s="49"/>
      <c r="F27" s="49"/>
      <c r="G27" s="49">
        <v>54</v>
      </c>
      <c r="H27" s="49"/>
      <c r="I27" s="49"/>
      <c r="J27" s="49">
        <v>67</v>
      </c>
      <c r="K27" s="49"/>
      <c r="L27" s="199" t="s">
        <v>107</v>
      </c>
      <c r="M27" s="49">
        <f t="shared" si="1"/>
        <v>55</v>
      </c>
      <c r="N27" s="49"/>
      <c r="O27" s="49">
        <v>32</v>
      </c>
      <c r="P27" s="49"/>
      <c r="Q27" s="49">
        <v>23</v>
      </c>
      <c r="R27" s="40"/>
    </row>
    <row r="28" spans="1:18" ht="22.5" customHeight="1">
      <c r="A28" s="347" t="s">
        <v>81</v>
      </c>
      <c r="B28" s="348"/>
      <c r="C28" s="49"/>
      <c r="D28" s="49">
        <f t="shared" si="0"/>
        <v>124</v>
      </c>
      <c r="E28" s="49"/>
      <c r="F28" s="49"/>
      <c r="G28" s="49">
        <v>77</v>
      </c>
      <c r="H28" s="49"/>
      <c r="I28" s="49"/>
      <c r="J28" s="49">
        <v>47</v>
      </c>
      <c r="K28" s="49"/>
      <c r="L28" s="199" t="s">
        <v>108</v>
      </c>
      <c r="M28" s="49">
        <f t="shared" si="1"/>
        <v>48</v>
      </c>
      <c r="N28" s="49"/>
      <c r="O28" s="49">
        <v>31</v>
      </c>
      <c r="P28" s="49"/>
      <c r="Q28" s="49">
        <v>17</v>
      </c>
      <c r="R28" s="40"/>
    </row>
    <row r="29" spans="1:18" ht="22.5" customHeight="1">
      <c r="A29" s="347" t="s">
        <v>82</v>
      </c>
      <c r="B29" s="348"/>
      <c r="C29" s="49"/>
      <c r="D29" s="49">
        <f t="shared" si="0"/>
        <v>34</v>
      </c>
      <c r="E29" s="49"/>
      <c r="F29" s="49"/>
      <c r="G29" s="49">
        <v>15</v>
      </c>
      <c r="H29" s="49"/>
      <c r="I29" s="49"/>
      <c r="J29" s="49">
        <v>19</v>
      </c>
      <c r="K29" s="49"/>
      <c r="L29" s="199"/>
      <c r="M29" s="49"/>
      <c r="N29" s="49"/>
      <c r="O29" s="49"/>
      <c r="P29" s="49"/>
      <c r="Q29" s="49"/>
      <c r="R29" s="40"/>
    </row>
    <row r="30" spans="1:18" ht="22.5" customHeight="1">
      <c r="A30" s="347" t="s">
        <v>83</v>
      </c>
      <c r="B30" s="348"/>
      <c r="C30" s="49"/>
      <c r="D30" s="49">
        <f t="shared" si="0"/>
        <v>160</v>
      </c>
      <c r="E30" s="49"/>
      <c r="F30" s="49"/>
      <c r="G30" s="49">
        <v>91</v>
      </c>
      <c r="H30" s="49"/>
      <c r="I30" s="49"/>
      <c r="J30" s="49">
        <v>69</v>
      </c>
      <c r="K30" s="49"/>
      <c r="L30" s="199" t="s">
        <v>109</v>
      </c>
      <c r="M30" s="49">
        <f t="shared" si="1"/>
        <v>311</v>
      </c>
      <c r="N30" s="49"/>
      <c r="O30" s="49">
        <v>150</v>
      </c>
      <c r="P30" s="49"/>
      <c r="Q30" s="49">
        <v>161</v>
      </c>
      <c r="R30" s="40"/>
    </row>
    <row r="31" spans="1:18" ht="22.5" customHeight="1">
      <c r="A31" s="347" t="s">
        <v>84</v>
      </c>
      <c r="B31" s="348"/>
      <c r="C31" s="49"/>
      <c r="D31" s="49">
        <f t="shared" si="0"/>
        <v>161</v>
      </c>
      <c r="E31" s="49"/>
      <c r="F31" s="49"/>
      <c r="G31" s="49">
        <v>89</v>
      </c>
      <c r="H31" s="49"/>
      <c r="I31" s="49"/>
      <c r="J31" s="49">
        <v>72</v>
      </c>
      <c r="K31" s="49"/>
      <c r="L31" s="219" t="s">
        <v>110</v>
      </c>
      <c r="M31" s="49" t="s">
        <v>343</v>
      </c>
      <c r="N31" s="49"/>
      <c r="O31" s="49" t="s">
        <v>329</v>
      </c>
      <c r="P31" s="49"/>
      <c r="Q31" s="49" t="s">
        <v>329</v>
      </c>
      <c r="R31" s="40"/>
    </row>
    <row r="32" spans="1:18" ht="22.5" customHeight="1">
      <c r="A32" s="347" t="s">
        <v>85</v>
      </c>
      <c r="B32" s="348"/>
      <c r="C32" s="49"/>
      <c r="D32" s="49">
        <f t="shared" si="0"/>
        <v>25</v>
      </c>
      <c r="E32" s="49"/>
      <c r="F32" s="49"/>
      <c r="G32" s="49">
        <v>18</v>
      </c>
      <c r="H32" s="49"/>
      <c r="I32" s="49"/>
      <c r="J32" s="49">
        <v>7</v>
      </c>
      <c r="K32" s="49"/>
      <c r="L32" s="199"/>
      <c r="M32" s="36"/>
      <c r="N32" s="36"/>
      <c r="O32" s="36"/>
      <c r="P32" s="36"/>
      <c r="Q32" s="36"/>
      <c r="R32" s="40"/>
    </row>
    <row r="33" spans="1:18" ht="22.5" customHeight="1">
      <c r="A33" s="351" t="s">
        <v>86</v>
      </c>
      <c r="B33" s="352"/>
      <c r="C33" s="49"/>
      <c r="D33" s="49">
        <f t="shared" si="0"/>
        <v>12</v>
      </c>
      <c r="E33" s="49"/>
      <c r="F33" s="49"/>
      <c r="G33" s="49">
        <v>5</v>
      </c>
      <c r="H33" s="49"/>
      <c r="I33" s="49"/>
      <c r="J33" s="49">
        <v>7</v>
      </c>
      <c r="K33" s="49"/>
      <c r="L33" s="200"/>
      <c r="M33" s="49"/>
      <c r="N33" s="49"/>
      <c r="O33" s="49"/>
      <c r="P33" s="49"/>
      <c r="Q33" s="49"/>
      <c r="R33" s="40"/>
    </row>
    <row r="34" spans="1:18" ht="13.5">
      <c r="A34" s="204" t="s">
        <v>265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40"/>
    </row>
    <row r="35" ht="13.5">
      <c r="A35" s="208" t="s">
        <v>337</v>
      </c>
    </row>
  </sheetData>
  <mergeCells count="34">
    <mergeCell ref="A33:B33"/>
    <mergeCell ref="A6:B6"/>
    <mergeCell ref="A29:B29"/>
    <mergeCell ref="A30:B30"/>
    <mergeCell ref="A31:B31"/>
    <mergeCell ref="A32:B32"/>
    <mergeCell ref="A25:B25"/>
    <mergeCell ref="A18:B18"/>
    <mergeCell ref="A26:B26"/>
    <mergeCell ref="A27:B27"/>
    <mergeCell ref="A15:B15"/>
    <mergeCell ref="A16:B16"/>
    <mergeCell ref="A17:B17"/>
    <mergeCell ref="A28:B28"/>
    <mergeCell ref="A19:B19"/>
    <mergeCell ref="A22:B22"/>
    <mergeCell ref="A23:B23"/>
    <mergeCell ref="A24:B24"/>
    <mergeCell ref="A11:B11"/>
    <mergeCell ref="A12:B12"/>
    <mergeCell ref="A13:B13"/>
    <mergeCell ref="A14:B14"/>
    <mergeCell ref="A8:B8"/>
    <mergeCell ref="A9:B9"/>
    <mergeCell ref="A5:B5"/>
    <mergeCell ref="A10:B10"/>
    <mergeCell ref="O4:P4"/>
    <mergeCell ref="Q4:R4"/>
    <mergeCell ref="A4:B4"/>
    <mergeCell ref="A7:B7"/>
    <mergeCell ref="C4:E4"/>
    <mergeCell ref="F4:H4"/>
    <mergeCell ref="I4:K4"/>
    <mergeCell ref="M4:N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38　　　　人　口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"/>
    </sheetView>
  </sheetViews>
  <sheetFormatPr defaultColWidth="9.00390625" defaultRowHeight="13.5"/>
  <cols>
    <col min="1" max="1" width="7.50390625" style="2" customWidth="1"/>
    <col min="2" max="5" width="8.75390625" style="2" customWidth="1"/>
    <col min="6" max="6" width="7.50390625" style="2" customWidth="1"/>
    <col min="7" max="9" width="8.75390625" style="2" customWidth="1"/>
    <col min="10" max="16384" width="9.00390625" style="2" customWidth="1"/>
  </cols>
  <sheetData>
    <row r="1" spans="1:10" ht="26.25" customHeight="1">
      <c r="A1" s="35" t="s">
        <v>152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2.5" customHeight="1">
      <c r="A2" s="33" t="s">
        <v>153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3.5">
      <c r="A3" s="40"/>
      <c r="B3" s="46"/>
      <c r="C3" s="46"/>
      <c r="D3" s="46"/>
      <c r="E3" s="46"/>
      <c r="F3" s="46"/>
      <c r="G3" s="46"/>
      <c r="H3" s="46"/>
      <c r="I3" s="46"/>
      <c r="J3" s="47" t="s">
        <v>0</v>
      </c>
    </row>
    <row r="4" spans="1:10" ht="13.5">
      <c r="A4" s="269" t="s">
        <v>1</v>
      </c>
      <c r="B4" s="267" t="s">
        <v>6</v>
      </c>
      <c r="C4" s="267" t="s">
        <v>154</v>
      </c>
      <c r="D4" s="81" t="s">
        <v>185</v>
      </c>
      <c r="E4" s="82" t="s">
        <v>4</v>
      </c>
      <c r="F4" s="271" t="s">
        <v>1</v>
      </c>
      <c r="G4" s="267" t="s">
        <v>6</v>
      </c>
      <c r="H4" s="267" t="s">
        <v>154</v>
      </c>
      <c r="I4" s="81" t="s">
        <v>185</v>
      </c>
      <c r="J4" s="84" t="s">
        <v>4</v>
      </c>
    </row>
    <row r="5" spans="1:10" ht="13.5">
      <c r="A5" s="270"/>
      <c r="B5" s="268"/>
      <c r="C5" s="268"/>
      <c r="D5" s="58" t="s">
        <v>2</v>
      </c>
      <c r="E5" s="83" t="s">
        <v>269</v>
      </c>
      <c r="F5" s="272"/>
      <c r="G5" s="268"/>
      <c r="H5" s="268"/>
      <c r="I5" s="58" t="s">
        <v>2</v>
      </c>
      <c r="J5" s="57" t="s">
        <v>269</v>
      </c>
    </row>
    <row r="6" spans="1:10" ht="5.25" customHeight="1">
      <c r="A6" s="79"/>
      <c r="B6" s="40"/>
      <c r="C6" s="40"/>
      <c r="D6" s="40"/>
      <c r="E6" s="40"/>
      <c r="F6" s="85"/>
      <c r="G6" s="40"/>
      <c r="H6" s="40"/>
      <c r="I6" s="40"/>
      <c r="J6" s="40"/>
    </row>
    <row r="7" spans="1:10" ht="13.5">
      <c r="A7" s="80" t="s">
        <v>155</v>
      </c>
      <c r="B7" s="36">
        <v>4167</v>
      </c>
      <c r="C7" s="36">
        <v>20710</v>
      </c>
      <c r="D7" s="74">
        <f>C7/B7</f>
        <v>4.970002399808015</v>
      </c>
      <c r="E7" s="36">
        <v>2356</v>
      </c>
      <c r="F7" s="86" t="s">
        <v>270</v>
      </c>
      <c r="G7" s="36">
        <v>46142</v>
      </c>
      <c r="H7" s="36">
        <v>138230</v>
      </c>
      <c r="I7" s="75">
        <f>H7/G7</f>
        <v>2.9957522430757226</v>
      </c>
      <c r="J7" s="36">
        <v>5712</v>
      </c>
    </row>
    <row r="8" spans="1:10" ht="13.5">
      <c r="A8" s="80" t="s">
        <v>271</v>
      </c>
      <c r="B8" s="36">
        <v>4317</v>
      </c>
      <c r="C8" s="36">
        <v>23200</v>
      </c>
      <c r="D8" s="74">
        <f aca="true" t="shared" si="0" ref="D8:D47">C8/B8</f>
        <v>5.374102385916146</v>
      </c>
      <c r="E8" s="36">
        <v>2639</v>
      </c>
      <c r="F8" s="86" t="s">
        <v>272</v>
      </c>
      <c r="G8" s="36">
        <v>46779</v>
      </c>
      <c r="H8" s="36">
        <v>138661</v>
      </c>
      <c r="I8" s="75">
        <f>H8/G8</f>
        <v>2.9641719575022982</v>
      </c>
      <c r="J8" s="36">
        <v>5730</v>
      </c>
    </row>
    <row r="9" spans="1:10" ht="13.5">
      <c r="A9" s="80" t="s">
        <v>192</v>
      </c>
      <c r="B9" s="36">
        <v>4628</v>
      </c>
      <c r="C9" s="36">
        <v>24500</v>
      </c>
      <c r="D9" s="74">
        <f t="shared" si="0"/>
        <v>5.293863439930855</v>
      </c>
      <c r="E9" s="36">
        <v>2737</v>
      </c>
      <c r="F9" s="86" t="s">
        <v>224</v>
      </c>
      <c r="G9" s="36">
        <v>47671</v>
      </c>
      <c r="H9" s="36">
        <v>140640</v>
      </c>
      <c r="I9" s="75">
        <f>H9/G9</f>
        <v>2.9502213085523694</v>
      </c>
      <c r="J9" s="36">
        <v>5812</v>
      </c>
    </row>
    <row r="10" spans="1:10" ht="13.5">
      <c r="A10" s="80" t="s">
        <v>193</v>
      </c>
      <c r="B10" s="36">
        <v>5118</v>
      </c>
      <c r="C10" s="36">
        <v>26880</v>
      </c>
      <c r="D10" s="74">
        <f t="shared" si="0"/>
        <v>5.2520515826494725</v>
      </c>
      <c r="E10" s="36">
        <v>3058</v>
      </c>
      <c r="F10" s="86" t="s">
        <v>225</v>
      </c>
      <c r="G10" s="36">
        <v>48683</v>
      </c>
      <c r="H10" s="36">
        <v>142455</v>
      </c>
      <c r="I10" s="75">
        <f>H10/G10</f>
        <v>2.9261754616601277</v>
      </c>
      <c r="J10" s="36">
        <v>5887</v>
      </c>
    </row>
    <row r="11" spans="1:10" ht="13.5">
      <c r="A11" s="80" t="s">
        <v>194</v>
      </c>
      <c r="B11" s="36">
        <v>6552</v>
      </c>
      <c r="C11" s="36">
        <v>34729</v>
      </c>
      <c r="D11" s="74">
        <f t="shared" si="0"/>
        <v>5.300518925518926</v>
      </c>
      <c r="E11" s="36">
        <v>3951</v>
      </c>
      <c r="F11" s="86" t="s">
        <v>226</v>
      </c>
      <c r="G11" s="36">
        <v>49162</v>
      </c>
      <c r="H11" s="36">
        <v>143450</v>
      </c>
      <c r="I11" s="75">
        <f>H11/G11</f>
        <v>2.9179040722509253</v>
      </c>
      <c r="J11" s="36">
        <v>5928</v>
      </c>
    </row>
    <row r="12" spans="1:10" ht="3.75" customHeight="1">
      <c r="A12" s="80"/>
      <c r="B12" s="36"/>
      <c r="C12" s="40"/>
      <c r="D12" s="74"/>
      <c r="E12" s="36"/>
      <c r="F12" s="86"/>
      <c r="G12" s="36"/>
      <c r="H12" s="36"/>
      <c r="I12" s="75"/>
      <c r="J12" s="36"/>
    </row>
    <row r="13" spans="1:10" ht="13.5">
      <c r="A13" s="80" t="s">
        <v>273</v>
      </c>
      <c r="B13" s="36">
        <v>7249</v>
      </c>
      <c r="C13" s="36">
        <v>42176</v>
      </c>
      <c r="D13" s="74">
        <f t="shared" si="0"/>
        <v>5.818181818181818</v>
      </c>
      <c r="E13" s="36">
        <v>4798</v>
      </c>
      <c r="F13" s="86" t="s">
        <v>274</v>
      </c>
      <c r="G13" s="36">
        <v>49583</v>
      </c>
      <c r="H13" s="36">
        <v>143332</v>
      </c>
      <c r="I13" s="75">
        <f>H13/G13</f>
        <v>2.890748845370389</v>
      </c>
      <c r="J13" s="36">
        <v>5923</v>
      </c>
    </row>
    <row r="14" spans="1:10" ht="13.5">
      <c r="A14" s="80" t="s">
        <v>196</v>
      </c>
      <c r="B14" s="36">
        <v>7935</v>
      </c>
      <c r="C14" s="36">
        <v>46858</v>
      </c>
      <c r="D14" s="74">
        <f t="shared" si="0"/>
        <v>5.905229993698803</v>
      </c>
      <c r="E14" s="36">
        <v>5331</v>
      </c>
      <c r="F14" s="86" t="s">
        <v>227</v>
      </c>
      <c r="G14" s="36">
        <v>49886</v>
      </c>
      <c r="H14" s="36">
        <v>143042</v>
      </c>
      <c r="I14" s="75">
        <f>H14/G14</f>
        <v>2.867377620975825</v>
      </c>
      <c r="J14" s="36">
        <v>5911</v>
      </c>
    </row>
    <row r="15" spans="1:10" ht="13.5">
      <c r="A15" s="80" t="s">
        <v>197</v>
      </c>
      <c r="B15" s="36">
        <v>8620</v>
      </c>
      <c r="C15" s="36">
        <v>56860</v>
      </c>
      <c r="D15" s="74">
        <f t="shared" si="0"/>
        <v>6.596287703016241</v>
      </c>
      <c r="E15" s="36">
        <v>6469</v>
      </c>
      <c r="F15" s="86" t="s">
        <v>228</v>
      </c>
      <c r="G15" s="36">
        <v>50392</v>
      </c>
      <c r="H15" s="36">
        <v>143539</v>
      </c>
      <c r="I15" s="75">
        <f>H15/G15</f>
        <v>2.8484481663756154</v>
      </c>
      <c r="J15" s="36">
        <v>5931</v>
      </c>
    </row>
    <row r="16" spans="1:10" ht="13.5">
      <c r="A16" s="80" t="s">
        <v>198</v>
      </c>
      <c r="B16" s="36">
        <v>8776</v>
      </c>
      <c r="C16" s="36">
        <v>60000</v>
      </c>
      <c r="D16" s="74">
        <f t="shared" si="0"/>
        <v>6.836827711941659</v>
      </c>
      <c r="E16" s="36">
        <v>6826</v>
      </c>
      <c r="F16" s="86" t="s">
        <v>229</v>
      </c>
      <c r="G16" s="36">
        <v>51277</v>
      </c>
      <c r="H16" s="36">
        <v>144520</v>
      </c>
      <c r="I16" s="75">
        <f>H16/G16</f>
        <v>2.8184176141349924</v>
      </c>
      <c r="J16" s="36">
        <v>5971</v>
      </c>
    </row>
    <row r="17" spans="1:10" ht="13.5">
      <c r="A17" s="80" t="s">
        <v>199</v>
      </c>
      <c r="B17" s="36">
        <v>7872</v>
      </c>
      <c r="C17" s="36">
        <v>34586</v>
      </c>
      <c r="D17" s="74">
        <f t="shared" si="0"/>
        <v>4.39354674796748</v>
      </c>
      <c r="E17" s="36">
        <v>3935</v>
      </c>
      <c r="F17" s="86" t="s">
        <v>230</v>
      </c>
      <c r="G17" s="36">
        <v>52136</v>
      </c>
      <c r="H17" s="36">
        <v>145941</v>
      </c>
      <c r="I17" s="75">
        <f>H17/G17</f>
        <v>2.7992366119380083</v>
      </c>
      <c r="J17" s="36">
        <v>6030</v>
      </c>
    </row>
    <row r="18" spans="1:10" ht="3.75" customHeight="1">
      <c r="A18" s="80"/>
      <c r="B18" s="36"/>
      <c r="C18" s="36"/>
      <c r="D18" s="74"/>
      <c r="E18" s="36"/>
      <c r="F18" s="86"/>
      <c r="G18" s="36"/>
      <c r="H18" s="36"/>
      <c r="I18" s="75"/>
      <c r="J18" s="36"/>
    </row>
    <row r="19" spans="1:10" ht="13.5">
      <c r="A19" s="80" t="s">
        <v>275</v>
      </c>
      <c r="B19" s="36">
        <v>9241</v>
      </c>
      <c r="C19" s="36">
        <v>39921</v>
      </c>
      <c r="D19" s="74">
        <f t="shared" si="0"/>
        <v>4.319987014392382</v>
      </c>
      <c r="E19" s="36">
        <v>4542</v>
      </c>
      <c r="F19" s="86" t="s">
        <v>276</v>
      </c>
      <c r="G19" s="36">
        <v>53274</v>
      </c>
      <c r="H19" s="36">
        <v>147772</v>
      </c>
      <c r="I19" s="75">
        <f>H19/G19</f>
        <v>2.773810864586853</v>
      </c>
      <c r="J19" s="36">
        <v>6106</v>
      </c>
    </row>
    <row r="20" spans="1:10" ht="13.5">
      <c r="A20" s="80" t="s">
        <v>200</v>
      </c>
      <c r="B20" s="36">
        <v>10373</v>
      </c>
      <c r="C20" s="36">
        <v>45300</v>
      </c>
      <c r="D20" s="74">
        <f t="shared" si="0"/>
        <v>4.367106912175841</v>
      </c>
      <c r="E20" s="36">
        <v>5154</v>
      </c>
      <c r="F20" s="86" t="s">
        <v>231</v>
      </c>
      <c r="G20" s="36">
        <v>54723</v>
      </c>
      <c r="H20" s="36">
        <v>150019</v>
      </c>
      <c r="I20" s="75">
        <f>H20/G20</f>
        <v>2.7414249949746905</v>
      </c>
      <c r="J20" s="36">
        <v>6198</v>
      </c>
    </row>
    <row r="21" spans="1:10" ht="13.5">
      <c r="A21" s="80" t="s">
        <v>201</v>
      </c>
      <c r="B21" s="36">
        <v>11975</v>
      </c>
      <c r="C21" s="36">
        <v>50512</v>
      </c>
      <c r="D21" s="74">
        <f t="shared" si="0"/>
        <v>4.21812108559499</v>
      </c>
      <c r="E21" s="36">
        <v>5747</v>
      </c>
      <c r="F21" s="86" t="s">
        <v>232</v>
      </c>
      <c r="G21" s="36">
        <v>55845</v>
      </c>
      <c r="H21" s="36">
        <v>151179</v>
      </c>
      <c r="I21" s="75">
        <f>H21/G21</f>
        <v>2.7071179156594143</v>
      </c>
      <c r="J21" s="36">
        <v>6246</v>
      </c>
    </row>
    <row r="22" spans="1:10" ht="13.5">
      <c r="A22" s="80" t="s">
        <v>202</v>
      </c>
      <c r="B22" s="36">
        <v>12107</v>
      </c>
      <c r="C22" s="36">
        <v>51426</v>
      </c>
      <c r="D22" s="74">
        <f t="shared" si="0"/>
        <v>4.247625340711985</v>
      </c>
      <c r="E22" s="36">
        <v>5851</v>
      </c>
      <c r="F22" s="86" t="s">
        <v>233</v>
      </c>
      <c r="G22" s="36">
        <v>56987</v>
      </c>
      <c r="H22" s="36">
        <v>152098</v>
      </c>
      <c r="I22" s="75">
        <f>H22/G22</f>
        <v>2.6689946829978766</v>
      </c>
      <c r="J22" s="36">
        <v>4285</v>
      </c>
    </row>
    <row r="23" spans="1:10" ht="13.5">
      <c r="A23" s="80" t="s">
        <v>203</v>
      </c>
      <c r="B23" s="36">
        <v>12319</v>
      </c>
      <c r="C23" s="36">
        <v>53015</v>
      </c>
      <c r="D23" s="74">
        <f t="shared" si="0"/>
        <v>4.3035148956895855</v>
      </c>
      <c r="E23" s="36">
        <v>6031</v>
      </c>
      <c r="F23" s="86" t="s">
        <v>156</v>
      </c>
      <c r="G23" s="36">
        <v>58399</v>
      </c>
      <c r="H23" s="36">
        <v>153041</v>
      </c>
      <c r="I23" s="75">
        <f>H23/G23</f>
        <v>2.6206099419510607</v>
      </c>
      <c r="J23" s="36">
        <v>6277</v>
      </c>
    </row>
    <row r="24" spans="1:10" ht="3.75" customHeight="1">
      <c r="A24" s="80"/>
      <c r="B24" s="36"/>
      <c r="C24" s="36"/>
      <c r="D24" s="74"/>
      <c r="E24" s="36"/>
      <c r="F24" s="86"/>
      <c r="G24" s="36"/>
      <c r="H24" s="36"/>
      <c r="I24" s="75"/>
      <c r="J24" s="36"/>
    </row>
    <row r="25" spans="1:10" ht="13.5">
      <c r="A25" s="80" t="s">
        <v>277</v>
      </c>
      <c r="B25" s="36">
        <v>12689</v>
      </c>
      <c r="C25" s="36">
        <v>54493</v>
      </c>
      <c r="D25" s="74">
        <f t="shared" si="0"/>
        <v>4.294507053353298</v>
      </c>
      <c r="E25" s="36">
        <v>6199</v>
      </c>
      <c r="F25" s="86" t="s">
        <v>278</v>
      </c>
      <c r="G25" s="36">
        <v>59193</v>
      </c>
      <c r="H25" s="36">
        <v>153273</v>
      </c>
      <c r="I25" s="75">
        <f>H25/G25</f>
        <v>2.589377122294866</v>
      </c>
      <c r="J25" s="36">
        <v>6287</v>
      </c>
    </row>
    <row r="26" spans="1:10" ht="13.5">
      <c r="A26" s="80" t="s">
        <v>204</v>
      </c>
      <c r="B26" s="36">
        <v>12969</v>
      </c>
      <c r="C26" s="36">
        <v>55883</v>
      </c>
      <c r="D26" s="74">
        <f t="shared" si="0"/>
        <v>4.308967537975172</v>
      </c>
      <c r="E26" s="36">
        <v>6358</v>
      </c>
      <c r="F26" s="86" t="s">
        <v>234</v>
      </c>
      <c r="G26" s="36">
        <v>60368</v>
      </c>
      <c r="H26" s="36">
        <v>154168</v>
      </c>
      <c r="I26" s="75">
        <f>H26/G26</f>
        <v>2.5538033395176254</v>
      </c>
      <c r="J26" s="36">
        <v>6324</v>
      </c>
    </row>
    <row r="27" spans="1:10" ht="13.5">
      <c r="A27" s="80" t="s">
        <v>205</v>
      </c>
      <c r="B27" s="36">
        <v>13561</v>
      </c>
      <c r="C27" s="36">
        <v>57861</v>
      </c>
      <c r="D27" s="74">
        <f t="shared" si="0"/>
        <v>4.266720743308015</v>
      </c>
      <c r="E27" s="36">
        <v>6583</v>
      </c>
      <c r="F27" s="86" t="s">
        <v>235</v>
      </c>
      <c r="G27" s="36">
        <v>61391</v>
      </c>
      <c r="H27" s="36">
        <v>154884</v>
      </c>
      <c r="I27" s="75">
        <f>H27/G27</f>
        <v>2.5229105243439593</v>
      </c>
      <c r="J27" s="36">
        <v>6353</v>
      </c>
    </row>
    <row r="28" spans="1:10" ht="13.5">
      <c r="A28" s="80" t="s">
        <v>206</v>
      </c>
      <c r="B28" s="36">
        <v>14119</v>
      </c>
      <c r="C28" s="36">
        <v>59548</v>
      </c>
      <c r="D28" s="74">
        <f t="shared" si="0"/>
        <v>4.217579148664919</v>
      </c>
      <c r="E28" s="36">
        <v>6775</v>
      </c>
      <c r="F28" s="86" t="s">
        <v>236</v>
      </c>
      <c r="G28" s="36">
        <v>61982</v>
      </c>
      <c r="H28" s="36">
        <v>154922</v>
      </c>
      <c r="I28" s="75">
        <f>H28/G28</f>
        <v>2.4994675873640735</v>
      </c>
      <c r="J28" s="36">
        <v>6354</v>
      </c>
    </row>
    <row r="29" spans="1:10" ht="13.5">
      <c r="A29" s="80" t="s">
        <v>207</v>
      </c>
      <c r="B29" s="36">
        <v>15019</v>
      </c>
      <c r="C29" s="36">
        <v>61995</v>
      </c>
      <c r="D29" s="74">
        <f t="shared" si="0"/>
        <v>4.127771489446701</v>
      </c>
      <c r="E29" s="36">
        <v>7053</v>
      </c>
      <c r="F29" s="86" t="s">
        <v>237</v>
      </c>
      <c r="G29" s="36">
        <v>62988</v>
      </c>
      <c r="H29" s="36">
        <v>155832</v>
      </c>
      <c r="I29" s="75">
        <f>H29/G29</f>
        <v>2.473995046675557</v>
      </c>
      <c r="J29" s="36">
        <v>6392</v>
      </c>
    </row>
    <row r="30" spans="1:10" ht="3.75" customHeight="1">
      <c r="A30" s="80"/>
      <c r="B30" s="36"/>
      <c r="C30" s="36"/>
      <c r="D30" s="74"/>
      <c r="E30" s="40"/>
      <c r="F30" s="86"/>
      <c r="G30" s="36"/>
      <c r="H30" s="36"/>
      <c r="I30" s="75"/>
      <c r="J30" s="36"/>
    </row>
    <row r="31" spans="1:10" ht="13.5">
      <c r="A31" s="80" t="s">
        <v>279</v>
      </c>
      <c r="B31" s="36">
        <v>15601</v>
      </c>
      <c r="C31" s="36">
        <v>63373</v>
      </c>
      <c r="D31" s="74">
        <f t="shared" si="0"/>
        <v>4.062111403115185</v>
      </c>
      <c r="E31" s="36">
        <v>7210</v>
      </c>
      <c r="F31" s="86" t="s">
        <v>280</v>
      </c>
      <c r="G31" s="36">
        <v>64455</v>
      </c>
      <c r="H31" s="36">
        <v>157228</v>
      </c>
      <c r="I31" s="75">
        <f>H31/G31</f>
        <v>2.439345279652471</v>
      </c>
      <c r="J31" s="36">
        <v>6449</v>
      </c>
    </row>
    <row r="32" spans="1:10" ht="13.5">
      <c r="A32" s="80" t="s">
        <v>208</v>
      </c>
      <c r="B32" s="36">
        <v>16138</v>
      </c>
      <c r="C32" s="36">
        <v>64753</v>
      </c>
      <c r="D32" s="74">
        <f t="shared" si="0"/>
        <v>4.012455074978312</v>
      </c>
      <c r="E32" s="36">
        <v>7367</v>
      </c>
      <c r="F32" s="86" t="s">
        <v>238</v>
      </c>
      <c r="G32" s="36">
        <v>65623</v>
      </c>
      <c r="H32" s="36">
        <v>157903</v>
      </c>
      <c r="I32" s="75">
        <f>H32/G32</f>
        <v>2.406214284625817</v>
      </c>
      <c r="J32" s="36">
        <v>6477</v>
      </c>
    </row>
    <row r="33" spans="1:10" ht="13.5">
      <c r="A33" s="80" t="s">
        <v>209</v>
      </c>
      <c r="B33" s="36">
        <v>16491</v>
      </c>
      <c r="C33" s="36">
        <v>67885</v>
      </c>
      <c r="D33" s="74">
        <f t="shared" si="0"/>
        <v>4.116487781213996</v>
      </c>
      <c r="E33" s="36">
        <v>7723</v>
      </c>
      <c r="F33" s="86" t="s">
        <v>239</v>
      </c>
      <c r="G33" s="36">
        <v>66633</v>
      </c>
      <c r="H33" s="36">
        <v>158858</v>
      </c>
      <c r="I33" s="75">
        <f>H33/G33</f>
        <v>2.384073957348461</v>
      </c>
      <c r="J33" s="36">
        <v>6516</v>
      </c>
    </row>
    <row r="34" spans="1:10" ht="13.5">
      <c r="A34" s="80" t="s">
        <v>210</v>
      </c>
      <c r="B34" s="36">
        <v>16827</v>
      </c>
      <c r="C34" s="36">
        <v>68731</v>
      </c>
      <c r="D34" s="74">
        <f t="shared" si="0"/>
        <v>4.084566470553278</v>
      </c>
      <c r="E34" s="36">
        <v>7819</v>
      </c>
      <c r="F34" s="86" t="s">
        <v>240</v>
      </c>
      <c r="G34" s="36">
        <v>67905</v>
      </c>
      <c r="H34" s="36">
        <v>160181</v>
      </c>
      <c r="I34" s="75">
        <f>H34/G34</f>
        <v>2.3588984610853396</v>
      </c>
      <c r="J34" s="36">
        <v>6570</v>
      </c>
    </row>
    <row r="35" spans="1:10" ht="13.5">
      <c r="A35" s="80" t="s">
        <v>211</v>
      </c>
      <c r="B35" s="36">
        <v>17185</v>
      </c>
      <c r="C35" s="36">
        <v>69775</v>
      </c>
      <c r="D35" s="74">
        <f t="shared" si="0"/>
        <v>4.06022694210067</v>
      </c>
      <c r="E35" s="36">
        <v>7938</v>
      </c>
      <c r="F35" s="86" t="s">
        <v>191</v>
      </c>
      <c r="G35" s="36">
        <v>69809</v>
      </c>
      <c r="H35" s="36">
        <v>162549</v>
      </c>
      <c r="I35" s="75">
        <f>H35/G35</f>
        <v>2.3284820008881377</v>
      </c>
      <c r="J35" s="36">
        <v>6667</v>
      </c>
    </row>
    <row r="36" spans="1:10" ht="3.75" customHeight="1">
      <c r="A36" s="80"/>
      <c r="B36" s="36"/>
      <c r="C36" s="36"/>
      <c r="D36" s="74"/>
      <c r="E36" s="36"/>
      <c r="F36" s="86"/>
      <c r="G36" s="36"/>
      <c r="H36" s="36"/>
      <c r="I36" s="75"/>
      <c r="J36" s="36"/>
    </row>
    <row r="37" spans="1:10" ht="13.5">
      <c r="A37" s="80" t="s">
        <v>281</v>
      </c>
      <c r="B37" s="36">
        <v>17997</v>
      </c>
      <c r="C37" s="36">
        <v>70085</v>
      </c>
      <c r="D37" s="74">
        <f t="shared" si="0"/>
        <v>3.8942601544701896</v>
      </c>
      <c r="E37" s="36">
        <v>7973</v>
      </c>
      <c r="F37" s="86" t="s">
        <v>282</v>
      </c>
      <c r="G37" s="36">
        <v>70960</v>
      </c>
      <c r="H37" s="36">
        <v>163421</v>
      </c>
      <c r="I37" s="75">
        <f>H37/G37</f>
        <v>2.303001691093574</v>
      </c>
      <c r="J37" s="36">
        <v>6703</v>
      </c>
    </row>
    <row r="38" spans="1:10" ht="13.5">
      <c r="A38" s="80" t="s">
        <v>212</v>
      </c>
      <c r="B38" s="36">
        <v>19872</v>
      </c>
      <c r="C38" s="36">
        <v>72735</v>
      </c>
      <c r="D38" s="74">
        <f t="shared" si="0"/>
        <v>3.660175120772947</v>
      </c>
      <c r="E38" s="36">
        <v>8275</v>
      </c>
      <c r="F38" s="86" t="s">
        <v>193</v>
      </c>
      <c r="G38" s="36">
        <v>72342</v>
      </c>
      <c r="H38" s="36">
        <v>164639</v>
      </c>
      <c r="I38" s="75">
        <f>H38/G38</f>
        <v>2.2758425257803214</v>
      </c>
      <c r="J38" s="36">
        <v>6753</v>
      </c>
    </row>
    <row r="39" spans="1:10" ht="13.5">
      <c r="A39" s="80" t="s">
        <v>213</v>
      </c>
      <c r="B39" s="36">
        <v>19185</v>
      </c>
      <c r="C39" s="36">
        <v>72796</v>
      </c>
      <c r="D39" s="74">
        <f t="shared" si="0"/>
        <v>3.7944227260880896</v>
      </c>
      <c r="E39" s="36">
        <v>8282</v>
      </c>
      <c r="F39" s="86" t="s">
        <v>194</v>
      </c>
      <c r="G39" s="36">
        <v>73417</v>
      </c>
      <c r="H39" s="36">
        <v>165410</v>
      </c>
      <c r="I39" s="75">
        <f>H39/G39</f>
        <v>2.253020417614449</v>
      </c>
      <c r="J39" s="36">
        <v>6785</v>
      </c>
    </row>
    <row r="40" spans="1:10" ht="13.5">
      <c r="A40" s="80" t="s">
        <v>214</v>
      </c>
      <c r="B40" s="36">
        <v>26563</v>
      </c>
      <c r="C40" s="36">
        <v>97479</v>
      </c>
      <c r="D40" s="74">
        <f t="shared" si="0"/>
        <v>3.6697285698151565</v>
      </c>
      <c r="E40" s="36">
        <v>3989</v>
      </c>
      <c r="F40" s="86" t="s">
        <v>195</v>
      </c>
      <c r="G40" s="36">
        <v>74657</v>
      </c>
      <c r="H40" s="36">
        <v>166829</v>
      </c>
      <c r="I40" s="75">
        <f>H40/G40</f>
        <v>2.234606265989793</v>
      </c>
      <c r="J40" s="36">
        <v>6843</v>
      </c>
    </row>
    <row r="41" spans="1:10" ht="13.5">
      <c r="A41" s="80" t="s">
        <v>215</v>
      </c>
      <c r="B41" s="36">
        <v>27924</v>
      </c>
      <c r="C41" s="36">
        <v>99012</v>
      </c>
      <c r="D41" s="74">
        <v>3.6</v>
      </c>
      <c r="E41" s="36">
        <v>4051</v>
      </c>
      <c r="F41" s="86" t="s">
        <v>196</v>
      </c>
      <c r="G41" s="36">
        <v>76050</v>
      </c>
      <c r="H41" s="36">
        <v>168828</v>
      </c>
      <c r="I41" s="75">
        <f>H41/G41</f>
        <v>2.2199605522682444</v>
      </c>
      <c r="J41" s="36">
        <v>6925</v>
      </c>
    </row>
    <row r="42" spans="1:10" ht="3.75" customHeight="1">
      <c r="A42" s="80"/>
      <c r="B42" s="36"/>
      <c r="C42" s="36"/>
      <c r="D42" s="74"/>
      <c r="E42" s="36"/>
      <c r="F42" s="86"/>
      <c r="G42" s="36"/>
      <c r="H42" s="36"/>
      <c r="I42" s="75"/>
      <c r="J42" s="36"/>
    </row>
    <row r="43" spans="1:10" ht="13.5">
      <c r="A43" s="80" t="s">
        <v>283</v>
      </c>
      <c r="B43" s="36">
        <v>30911</v>
      </c>
      <c r="C43" s="36">
        <v>101687</v>
      </c>
      <c r="D43" s="74">
        <f t="shared" si="0"/>
        <v>3.2896703438905246</v>
      </c>
      <c r="E43" s="36">
        <v>4161</v>
      </c>
      <c r="F43" s="86" t="s">
        <v>284</v>
      </c>
      <c r="G43" s="36">
        <v>77170</v>
      </c>
      <c r="H43" s="36">
        <v>169768</v>
      </c>
      <c r="I43" s="75">
        <f>H43/G43</f>
        <v>2.1999222495788517</v>
      </c>
      <c r="J43" s="36">
        <v>6963</v>
      </c>
    </row>
    <row r="44" spans="1:10" ht="13.5">
      <c r="A44" s="80" t="s">
        <v>216</v>
      </c>
      <c r="B44" s="36">
        <v>32984</v>
      </c>
      <c r="C44" s="36">
        <v>105352</v>
      </c>
      <c r="D44" s="74">
        <f t="shared" si="0"/>
        <v>3.1940334707737086</v>
      </c>
      <c r="E44" s="36">
        <v>4311</v>
      </c>
      <c r="F44" s="86" t="s">
        <v>285</v>
      </c>
      <c r="G44" s="36">
        <v>78581</v>
      </c>
      <c r="H44" s="36">
        <v>171325</v>
      </c>
      <c r="I44" s="75">
        <f>H44/G44</f>
        <v>2.1802344078085034</v>
      </c>
      <c r="J44" s="36">
        <v>7027</v>
      </c>
    </row>
    <row r="45" spans="1:10" ht="13.5">
      <c r="A45" s="80" t="s">
        <v>217</v>
      </c>
      <c r="B45" s="36">
        <v>36022</v>
      </c>
      <c r="C45" s="36">
        <v>112350</v>
      </c>
      <c r="D45" s="74">
        <f t="shared" si="0"/>
        <v>3.1189273221919938</v>
      </c>
      <c r="E45" s="36">
        <v>4620</v>
      </c>
      <c r="F45" s="86" t="s">
        <v>199</v>
      </c>
      <c r="G45" s="36">
        <v>79876</v>
      </c>
      <c r="H45" s="36">
        <v>172547</v>
      </c>
      <c r="I45" s="75">
        <f>H45/G45</f>
        <v>2.1601857879713555</v>
      </c>
      <c r="J45" s="36">
        <f>H45/24.38</f>
        <v>7077.399507793273</v>
      </c>
    </row>
    <row r="46" spans="1:10" ht="13.5">
      <c r="A46" s="80" t="s">
        <v>218</v>
      </c>
      <c r="B46" s="36">
        <v>37783</v>
      </c>
      <c r="C46" s="36">
        <v>115353</v>
      </c>
      <c r="D46" s="74">
        <f t="shared" si="0"/>
        <v>3.0530397268612868</v>
      </c>
      <c r="E46" s="36">
        <v>4743</v>
      </c>
      <c r="F46" s="89" t="s">
        <v>255</v>
      </c>
      <c r="G46" s="6">
        <v>80942</v>
      </c>
      <c r="H46" s="6">
        <v>173692</v>
      </c>
      <c r="I46" s="31">
        <f>H46/G46</f>
        <v>2.1458822366632897</v>
      </c>
      <c r="J46" s="6">
        <f>H46/24.38</f>
        <v>7124.364232977851</v>
      </c>
    </row>
    <row r="47" spans="1:10" ht="13.5">
      <c r="A47" s="80" t="s">
        <v>219</v>
      </c>
      <c r="B47" s="36">
        <v>36252</v>
      </c>
      <c r="C47" s="36">
        <v>115240</v>
      </c>
      <c r="D47" s="74">
        <f t="shared" si="0"/>
        <v>3.1788590974291075</v>
      </c>
      <c r="E47" s="36">
        <v>4738</v>
      </c>
      <c r="F47" s="86"/>
      <c r="G47" s="36"/>
      <c r="H47" s="36"/>
      <c r="I47" s="75"/>
      <c r="J47" s="36"/>
    </row>
    <row r="48" spans="1:10" ht="5.25" customHeight="1">
      <c r="A48" s="79"/>
      <c r="B48" s="43"/>
      <c r="C48" s="40"/>
      <c r="D48" s="76"/>
      <c r="E48" s="40"/>
      <c r="F48" s="87"/>
      <c r="G48" s="40"/>
      <c r="H48" s="40"/>
      <c r="I48" s="40"/>
      <c r="J48" s="40"/>
    </row>
    <row r="49" spans="1:10" ht="13.5" customHeight="1">
      <c r="A49" s="80" t="s">
        <v>286</v>
      </c>
      <c r="B49" s="36">
        <v>37665</v>
      </c>
      <c r="C49" s="36">
        <v>117444</v>
      </c>
      <c r="D49" s="74">
        <f>C49/B49</f>
        <v>3.118120270808443</v>
      </c>
      <c r="E49" s="36">
        <v>4829</v>
      </c>
      <c r="F49" s="87"/>
      <c r="G49" s="40"/>
      <c r="H49" s="40"/>
      <c r="I49" s="40"/>
      <c r="J49" s="40"/>
    </row>
    <row r="50" spans="1:10" ht="13.5" customHeight="1">
      <c r="A50" s="80" t="s">
        <v>220</v>
      </c>
      <c r="B50" s="36">
        <v>42135</v>
      </c>
      <c r="C50" s="36">
        <v>129395</v>
      </c>
      <c r="D50" s="74">
        <f>C50/B50</f>
        <v>3.0709623828171355</v>
      </c>
      <c r="E50" s="36">
        <v>5321</v>
      </c>
      <c r="F50" s="87"/>
      <c r="G50" s="40"/>
      <c r="H50" s="40"/>
      <c r="I50" s="40"/>
      <c r="J50" s="40"/>
    </row>
    <row r="51" spans="1:10" ht="13.5" customHeight="1">
      <c r="A51" s="80" t="s">
        <v>221</v>
      </c>
      <c r="B51" s="36">
        <v>43434</v>
      </c>
      <c r="C51" s="36">
        <v>132501</v>
      </c>
      <c r="D51" s="74">
        <f>C51/B51</f>
        <v>3.050628539853571</v>
      </c>
      <c r="E51" s="36">
        <v>5448</v>
      </c>
      <c r="F51" s="87"/>
      <c r="G51" s="40"/>
      <c r="H51" s="40"/>
      <c r="I51" s="40"/>
      <c r="J51" s="40"/>
    </row>
    <row r="52" spans="1:10" ht="13.5" customHeight="1">
      <c r="A52" s="80" t="s">
        <v>222</v>
      </c>
      <c r="B52" s="36">
        <v>45080</v>
      </c>
      <c r="C52" s="36">
        <v>135049</v>
      </c>
      <c r="D52" s="74">
        <f>C52/B52</f>
        <v>2.9957630878438333</v>
      </c>
      <c r="E52" s="36">
        <v>5581</v>
      </c>
      <c r="F52" s="87"/>
      <c r="G52" s="40"/>
      <c r="H52" s="40"/>
      <c r="I52" s="40"/>
      <c r="J52" s="40"/>
    </row>
    <row r="53" spans="1:10" ht="13.5" customHeight="1">
      <c r="A53" s="80" t="s">
        <v>223</v>
      </c>
      <c r="B53" s="36">
        <v>45520</v>
      </c>
      <c r="C53" s="36">
        <v>136513</v>
      </c>
      <c r="D53" s="74">
        <f>C53/B53</f>
        <v>2.9989674868189806</v>
      </c>
      <c r="E53" s="36">
        <v>5641</v>
      </c>
      <c r="F53" s="87"/>
      <c r="G53" s="40"/>
      <c r="H53" s="40"/>
      <c r="I53" s="40"/>
      <c r="J53" s="40"/>
    </row>
    <row r="54" spans="1:10" ht="5.25" customHeight="1">
      <c r="A54" s="52"/>
      <c r="B54" s="43"/>
      <c r="C54" s="40"/>
      <c r="D54" s="40"/>
      <c r="E54" s="40"/>
      <c r="F54" s="88"/>
      <c r="G54" s="40"/>
      <c r="H54" s="40"/>
      <c r="I54" s="40"/>
      <c r="J54" s="40"/>
    </row>
    <row r="55" spans="1:10" s="206" customFormat="1" ht="13.5">
      <c r="A55" s="204" t="s">
        <v>265</v>
      </c>
      <c r="B55" s="205"/>
      <c r="C55" s="205"/>
      <c r="D55" s="205"/>
      <c r="E55" s="205"/>
      <c r="F55" s="205"/>
      <c r="G55" s="205"/>
      <c r="H55" s="205"/>
      <c r="I55" s="205"/>
      <c r="J55" s="205"/>
    </row>
    <row r="56" spans="1:10" s="206" customFormat="1" ht="13.5">
      <c r="A56" s="208" t="s">
        <v>331</v>
      </c>
      <c r="B56" s="207"/>
      <c r="C56" s="207"/>
      <c r="D56" s="207"/>
      <c r="E56" s="207"/>
      <c r="F56" s="207"/>
      <c r="G56" s="207"/>
      <c r="H56" s="207"/>
      <c r="I56" s="207"/>
      <c r="J56" s="207"/>
    </row>
    <row r="57" spans="1:10" s="206" customFormat="1" ht="13.5">
      <c r="A57" s="208" t="s">
        <v>332</v>
      </c>
      <c r="B57" s="207"/>
      <c r="C57" s="207"/>
      <c r="D57" s="207"/>
      <c r="E57" s="207"/>
      <c r="F57" s="207"/>
      <c r="G57" s="207"/>
      <c r="H57" s="207"/>
      <c r="I57" s="207"/>
      <c r="J57" s="207"/>
    </row>
    <row r="58" spans="1:10" s="206" customFormat="1" ht="13.5">
      <c r="A58" s="208" t="s">
        <v>330</v>
      </c>
      <c r="B58" s="207"/>
      <c r="C58" s="207"/>
      <c r="D58" s="207"/>
      <c r="E58" s="207"/>
      <c r="F58" s="207"/>
      <c r="G58" s="207"/>
      <c r="H58" s="207"/>
      <c r="I58" s="207"/>
      <c r="J58" s="207"/>
    </row>
  </sheetData>
  <mergeCells count="6">
    <mergeCell ref="G4:G5"/>
    <mergeCell ref="H4:H5"/>
    <mergeCell ref="A4:A5"/>
    <mergeCell ref="B4:B5"/>
    <mergeCell ref="C4:C5"/>
    <mergeCell ref="F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30　　　　 人　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F15" sqref="F15"/>
    </sheetView>
  </sheetViews>
  <sheetFormatPr defaultColWidth="9.00390625" defaultRowHeight="13.5"/>
  <cols>
    <col min="1" max="1" width="15.00390625" style="2" customWidth="1"/>
    <col min="2" max="2" width="20.00390625" style="2" customWidth="1"/>
    <col min="3" max="4" width="18.75390625" style="2" customWidth="1"/>
    <col min="5" max="16384" width="9.00390625" style="2" customWidth="1"/>
  </cols>
  <sheetData>
    <row r="1" spans="1:4" ht="26.25" customHeight="1">
      <c r="A1" s="7"/>
      <c r="B1" s="7"/>
      <c r="C1" s="7"/>
      <c r="D1" s="7"/>
    </row>
    <row r="2" spans="1:4" ht="22.5" customHeight="1">
      <c r="A2" s="33" t="s">
        <v>249</v>
      </c>
      <c r="B2" s="33"/>
      <c r="C2" s="33"/>
      <c r="D2" s="33"/>
    </row>
    <row r="3" spans="1:4" ht="13.5" customHeight="1">
      <c r="A3" s="40"/>
      <c r="B3" s="46"/>
      <c r="C3" s="46"/>
      <c r="D3" s="47" t="s">
        <v>256</v>
      </c>
    </row>
    <row r="4" spans="1:5" ht="22.5" customHeight="1">
      <c r="A4" s="91"/>
      <c r="B4" s="63" t="s">
        <v>55</v>
      </c>
      <c r="C4" s="63" t="s">
        <v>9</v>
      </c>
      <c r="D4" s="60" t="s">
        <v>10</v>
      </c>
      <c r="E4" s="5"/>
    </row>
    <row r="5" spans="1:4" ht="5.25" customHeight="1">
      <c r="A5" s="92"/>
      <c r="B5" s="90"/>
      <c r="C5" s="90"/>
      <c r="D5" s="90"/>
    </row>
    <row r="6" spans="1:4" ht="18.75" customHeight="1">
      <c r="A6" s="72" t="s">
        <v>151</v>
      </c>
      <c r="B6" s="215">
        <f>SUM(C6:D6)</f>
        <v>3978689</v>
      </c>
      <c r="C6" s="215">
        <f>SUM(C8:C35)</f>
        <v>1987178</v>
      </c>
      <c r="D6" s="215">
        <f>SUM(D8:D35)</f>
        <v>1991511</v>
      </c>
    </row>
    <row r="7" spans="1:4" ht="9" customHeight="1">
      <c r="A7" s="51"/>
      <c r="B7" s="216"/>
      <c r="C7" s="216"/>
      <c r="D7" s="216"/>
    </row>
    <row r="8" spans="1:4" ht="21" customHeight="1">
      <c r="A8" s="51" t="s">
        <v>126</v>
      </c>
      <c r="B8" s="216">
        <f>SUM(C8:D8)</f>
        <v>547811</v>
      </c>
      <c r="C8" s="216">
        <v>276433</v>
      </c>
      <c r="D8" s="216">
        <v>271378</v>
      </c>
    </row>
    <row r="9" spans="1:4" ht="3" customHeight="1">
      <c r="A9" s="51"/>
      <c r="B9" s="216"/>
      <c r="C9" s="216"/>
      <c r="D9" s="216"/>
    </row>
    <row r="10" spans="1:4" ht="21" customHeight="1">
      <c r="A10" s="72" t="s">
        <v>128</v>
      </c>
      <c r="B10" s="215">
        <f>SUM(C10:D10)</f>
        <v>173692</v>
      </c>
      <c r="C10" s="215">
        <v>86925</v>
      </c>
      <c r="D10" s="215">
        <v>86767</v>
      </c>
    </row>
    <row r="11" spans="1:4" ht="3" customHeight="1">
      <c r="A11" s="93"/>
      <c r="B11" s="217"/>
      <c r="C11" s="217"/>
      <c r="D11" s="217"/>
    </row>
    <row r="12" spans="1:4" ht="21" customHeight="1">
      <c r="A12" s="51" t="s">
        <v>130</v>
      </c>
      <c r="B12" s="216">
        <f aca="true" t="shared" si="0" ref="B12:B35">SUM(C12:D12)</f>
        <v>134422</v>
      </c>
      <c r="C12" s="216">
        <v>64960</v>
      </c>
      <c r="D12" s="216">
        <v>69462</v>
      </c>
    </row>
    <row r="13" spans="1:4" ht="21" customHeight="1">
      <c r="A13" s="51" t="s">
        <v>132</v>
      </c>
      <c r="B13" s="216">
        <f t="shared" si="0"/>
        <v>175716</v>
      </c>
      <c r="C13" s="216">
        <v>86819</v>
      </c>
      <c r="D13" s="216">
        <v>88897</v>
      </c>
    </row>
    <row r="14" spans="1:4" ht="21" customHeight="1">
      <c r="A14" s="51" t="s">
        <v>134</v>
      </c>
      <c r="B14" s="216">
        <f t="shared" si="0"/>
        <v>138265</v>
      </c>
      <c r="C14" s="216">
        <v>69775</v>
      </c>
      <c r="D14" s="216">
        <v>68490</v>
      </c>
    </row>
    <row r="15" spans="1:4" ht="21" customHeight="1">
      <c r="A15" s="51" t="s">
        <v>136</v>
      </c>
      <c r="B15" s="216">
        <f t="shared" si="0"/>
        <v>241930</v>
      </c>
      <c r="C15" s="216">
        <v>123141</v>
      </c>
      <c r="D15" s="216">
        <v>118789</v>
      </c>
    </row>
    <row r="16" spans="1:4" ht="21" customHeight="1">
      <c r="A16" s="51" t="s">
        <v>138</v>
      </c>
      <c r="B16" s="216">
        <f t="shared" si="0"/>
        <v>110574</v>
      </c>
      <c r="C16" s="216">
        <v>55774</v>
      </c>
      <c r="D16" s="216">
        <v>54800</v>
      </c>
    </row>
    <row r="17" spans="1:4" ht="21" customHeight="1">
      <c r="A17" s="51" t="s">
        <v>140</v>
      </c>
      <c r="B17" s="216">
        <f t="shared" si="0"/>
        <v>214865</v>
      </c>
      <c r="C17" s="216">
        <v>106730</v>
      </c>
      <c r="D17" s="216">
        <v>108135</v>
      </c>
    </row>
    <row r="18" spans="1:4" ht="21" customHeight="1">
      <c r="A18" s="51" t="s">
        <v>142</v>
      </c>
      <c r="B18" s="216">
        <f t="shared" si="0"/>
        <v>414406</v>
      </c>
      <c r="C18" s="216">
        <v>204994</v>
      </c>
      <c r="D18" s="216">
        <v>209412</v>
      </c>
    </row>
    <row r="19" spans="1:4" ht="21" customHeight="1">
      <c r="A19" s="51" t="s">
        <v>144</v>
      </c>
      <c r="B19" s="216">
        <f t="shared" si="0"/>
        <v>110851</v>
      </c>
      <c r="C19" s="216">
        <v>55260</v>
      </c>
      <c r="D19" s="216">
        <v>55591</v>
      </c>
    </row>
    <row r="20" spans="1:4" ht="21" customHeight="1">
      <c r="A20" s="51" t="s">
        <v>146</v>
      </c>
      <c r="B20" s="216">
        <f t="shared" si="0"/>
        <v>179269</v>
      </c>
      <c r="C20" s="216">
        <v>89390</v>
      </c>
      <c r="D20" s="216">
        <v>89879</v>
      </c>
    </row>
    <row r="21" spans="1:4" ht="21" customHeight="1">
      <c r="A21" s="51" t="s">
        <v>148</v>
      </c>
      <c r="B21" s="216">
        <f t="shared" si="0"/>
        <v>173442</v>
      </c>
      <c r="C21" s="216">
        <v>88070</v>
      </c>
      <c r="D21" s="216">
        <v>85372</v>
      </c>
    </row>
    <row r="22" spans="1:4" ht="21" customHeight="1">
      <c r="A22" s="51" t="s">
        <v>150</v>
      </c>
      <c r="B22" s="216">
        <f t="shared" si="0"/>
        <v>148084</v>
      </c>
      <c r="C22" s="216">
        <v>73400</v>
      </c>
      <c r="D22" s="216">
        <v>74684</v>
      </c>
    </row>
    <row r="23" spans="1:4" ht="21" customHeight="1">
      <c r="A23" s="51" t="s">
        <v>125</v>
      </c>
      <c r="B23" s="216">
        <f t="shared" si="0"/>
        <v>115895</v>
      </c>
      <c r="C23" s="216">
        <v>57872</v>
      </c>
      <c r="D23" s="216">
        <v>58023</v>
      </c>
    </row>
    <row r="24" spans="1:4" ht="21" customHeight="1">
      <c r="A24" s="51" t="s">
        <v>127</v>
      </c>
      <c r="B24" s="216">
        <f t="shared" si="0"/>
        <v>72742</v>
      </c>
      <c r="C24" s="216">
        <v>36034</v>
      </c>
      <c r="D24" s="216">
        <v>36708</v>
      </c>
    </row>
    <row r="25" spans="1:4" ht="21" customHeight="1">
      <c r="A25" s="51" t="s">
        <v>129</v>
      </c>
      <c r="B25" s="216">
        <f t="shared" si="0"/>
        <v>58483</v>
      </c>
      <c r="C25" s="216">
        <v>29558</v>
      </c>
      <c r="D25" s="216">
        <v>28925</v>
      </c>
    </row>
    <row r="26" spans="1:4" ht="21" customHeight="1">
      <c r="A26" s="51" t="s">
        <v>131</v>
      </c>
      <c r="B26" s="216">
        <f t="shared" si="0"/>
        <v>75995</v>
      </c>
      <c r="C26" s="216">
        <v>37454</v>
      </c>
      <c r="D26" s="216">
        <v>38541</v>
      </c>
    </row>
    <row r="27" spans="1:4" ht="21" customHeight="1">
      <c r="A27" s="51" t="s">
        <v>133</v>
      </c>
      <c r="B27" s="216">
        <f t="shared" si="0"/>
        <v>82184</v>
      </c>
      <c r="C27" s="216">
        <v>40943</v>
      </c>
      <c r="D27" s="216">
        <v>41241</v>
      </c>
    </row>
    <row r="28" spans="1:4" ht="21" customHeight="1">
      <c r="A28" s="51" t="s">
        <v>135</v>
      </c>
      <c r="B28" s="216">
        <f t="shared" si="0"/>
        <v>72423</v>
      </c>
      <c r="C28" s="216">
        <v>35200</v>
      </c>
      <c r="D28" s="216">
        <v>37223</v>
      </c>
    </row>
    <row r="29" spans="1:4" ht="21" customHeight="1">
      <c r="A29" s="51" t="s">
        <v>137</v>
      </c>
      <c r="B29" s="216">
        <f t="shared" si="0"/>
        <v>114717</v>
      </c>
      <c r="C29" s="216">
        <v>56915</v>
      </c>
      <c r="D29" s="216">
        <v>57802</v>
      </c>
    </row>
    <row r="30" spans="1:4" ht="21" customHeight="1">
      <c r="A30" s="51" t="s">
        <v>139</v>
      </c>
      <c r="B30" s="216">
        <f t="shared" si="0"/>
        <v>69491</v>
      </c>
      <c r="C30" s="216">
        <v>34967</v>
      </c>
      <c r="D30" s="216">
        <v>34524</v>
      </c>
    </row>
    <row r="31" spans="1:4" ht="21" customHeight="1">
      <c r="A31" s="51" t="s">
        <v>141</v>
      </c>
      <c r="B31" s="216">
        <f t="shared" si="0"/>
        <v>145356</v>
      </c>
      <c r="C31" s="216">
        <v>72443</v>
      </c>
      <c r="D31" s="216">
        <v>72913</v>
      </c>
    </row>
    <row r="32" spans="1:4" ht="21" customHeight="1">
      <c r="A32" s="51" t="s">
        <v>143</v>
      </c>
      <c r="B32" s="216">
        <f t="shared" si="0"/>
        <v>81050</v>
      </c>
      <c r="C32" s="216">
        <v>41218</v>
      </c>
      <c r="D32" s="216">
        <v>39832</v>
      </c>
    </row>
    <row r="33" spans="1:4" ht="21" customHeight="1">
      <c r="A33" s="51" t="s">
        <v>145</v>
      </c>
      <c r="B33" s="216">
        <f t="shared" si="0"/>
        <v>55820</v>
      </c>
      <c r="C33" s="216">
        <v>28522</v>
      </c>
      <c r="D33" s="216">
        <v>27298</v>
      </c>
    </row>
    <row r="34" spans="1:4" ht="21" customHeight="1">
      <c r="A34" s="51" t="s">
        <v>147</v>
      </c>
      <c r="B34" s="216">
        <f t="shared" si="0"/>
        <v>80875</v>
      </c>
      <c r="C34" s="216">
        <v>40545</v>
      </c>
      <c r="D34" s="216">
        <v>40330</v>
      </c>
    </row>
    <row r="35" spans="1:4" ht="21" customHeight="1">
      <c r="A35" s="51" t="s">
        <v>149</v>
      </c>
      <c r="B35" s="216">
        <f t="shared" si="0"/>
        <v>190331</v>
      </c>
      <c r="C35" s="218">
        <v>93836</v>
      </c>
      <c r="D35" s="218">
        <v>96495</v>
      </c>
    </row>
    <row r="36" spans="1:4" ht="5.25" customHeight="1">
      <c r="A36" s="94"/>
      <c r="B36" s="95"/>
      <c r="C36" s="96"/>
      <c r="D36" s="96"/>
    </row>
    <row r="37" spans="1:4" s="206" customFormat="1" ht="13.5" customHeight="1">
      <c r="A37" s="209" t="s">
        <v>338</v>
      </c>
      <c r="B37" s="210"/>
      <c r="C37" s="210"/>
      <c r="D37" s="210"/>
    </row>
    <row r="38" spans="1:4" s="206" customFormat="1" ht="13.5">
      <c r="A38" s="209" t="s">
        <v>333</v>
      </c>
      <c r="B38" s="210"/>
      <c r="C38" s="210"/>
      <c r="D38" s="210"/>
    </row>
    <row r="39" ht="13.5">
      <c r="A39" s="15"/>
    </row>
    <row r="40" ht="13.5">
      <c r="A40" s="15"/>
    </row>
    <row r="41" ht="13.5">
      <c r="A41" s="15"/>
    </row>
    <row r="42" ht="13.5">
      <c r="A42" s="15"/>
    </row>
    <row r="43" ht="13.5">
      <c r="A43" s="15"/>
    </row>
    <row r="44" ht="13.5">
      <c r="A44" s="15"/>
    </row>
    <row r="45" ht="13.5">
      <c r="A45" s="1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&amp;R&amp;8人　口　　　　31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1">
      <pane ySplit="5" topLeftCell="BM27" activePane="bottomLeft" state="frozen"/>
      <selection pane="topLeft" activeCell="F15" sqref="F15"/>
      <selection pane="bottomLeft" activeCell="N7" sqref="N7:N63"/>
    </sheetView>
  </sheetViews>
  <sheetFormatPr defaultColWidth="9.00390625" defaultRowHeight="13.5"/>
  <cols>
    <col min="1" max="1" width="3.75390625" style="2" customWidth="1"/>
    <col min="2" max="2" width="7.50390625" style="2" customWidth="1"/>
    <col min="3" max="3" width="1.4921875" style="2" customWidth="1"/>
    <col min="4" max="6" width="9.125" style="2" customWidth="1"/>
    <col min="7" max="8" width="8.75390625" style="2" customWidth="1"/>
    <col min="9" max="9" width="8.75390625" style="27" hidden="1" customWidth="1"/>
    <col min="10" max="11" width="9.50390625" style="2" bestFit="1" customWidth="1"/>
    <col min="12" max="12" width="9.125" style="2" customWidth="1"/>
    <col min="13" max="16384" width="9.00390625" style="2" customWidth="1"/>
  </cols>
  <sheetData>
    <row r="1" ht="13.5">
      <c r="I1" s="25" t="s">
        <v>259</v>
      </c>
    </row>
    <row r="2" spans="1:12" ht="23.25" customHeight="1">
      <c r="A2" s="34" t="s">
        <v>248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3.5">
      <c r="A3" s="105"/>
      <c r="B3" s="105"/>
      <c r="C3" s="105"/>
      <c r="D3" s="105"/>
      <c r="E3" s="105"/>
      <c r="F3" s="105"/>
      <c r="G3" s="105"/>
      <c r="H3" s="105"/>
      <c r="I3" s="106"/>
      <c r="J3" s="47"/>
      <c r="K3" s="47"/>
      <c r="L3" s="47" t="s">
        <v>257</v>
      </c>
    </row>
    <row r="4" spans="1:12" ht="13.5">
      <c r="A4" s="274"/>
      <c r="B4" s="273"/>
      <c r="C4" s="273"/>
      <c r="D4" s="273" t="s">
        <v>5</v>
      </c>
      <c r="E4" s="273" t="s">
        <v>7</v>
      </c>
      <c r="F4" s="273"/>
      <c r="G4" s="273"/>
      <c r="H4" s="111" t="s">
        <v>114</v>
      </c>
      <c r="I4" s="108" t="s">
        <v>258</v>
      </c>
      <c r="J4" s="273" t="s">
        <v>157</v>
      </c>
      <c r="K4" s="273"/>
      <c r="L4" s="113" t="s">
        <v>4</v>
      </c>
    </row>
    <row r="5" spans="1:12" ht="13.5">
      <c r="A5" s="275"/>
      <c r="B5" s="276"/>
      <c r="C5" s="276"/>
      <c r="D5" s="276"/>
      <c r="E5" s="109" t="s">
        <v>8</v>
      </c>
      <c r="F5" s="109" t="s">
        <v>9</v>
      </c>
      <c r="G5" s="109" t="s">
        <v>10</v>
      </c>
      <c r="H5" s="112" t="s">
        <v>2</v>
      </c>
      <c r="I5" s="110"/>
      <c r="J5" s="109" t="s">
        <v>35</v>
      </c>
      <c r="K5" s="109" t="s">
        <v>113</v>
      </c>
      <c r="L5" s="114" t="s">
        <v>186</v>
      </c>
    </row>
    <row r="6" spans="1:12" ht="6" customHeight="1">
      <c r="A6" s="279"/>
      <c r="B6" s="279"/>
      <c r="C6" s="115"/>
      <c r="D6" s="97"/>
      <c r="E6" s="53"/>
      <c r="F6" s="53"/>
      <c r="G6" s="53"/>
      <c r="H6" s="98"/>
      <c r="I6" s="99"/>
      <c r="J6" s="53"/>
      <c r="K6" s="53"/>
      <c r="L6" s="40"/>
    </row>
    <row r="7" spans="1:14" ht="13.5">
      <c r="A7" s="277" t="s">
        <v>115</v>
      </c>
      <c r="B7" s="277"/>
      <c r="C7" s="116"/>
      <c r="D7" s="9">
        <f>SUM(D9,D18,D26,D34,D39,D44,D49,D51,D59,'1 人口3 (2)'!D7,'1 人口3 (2)'!D15,'1 人口3 (2)'!D24,'1 人口3 (2)'!D34,'1 人口3 (2)'!D43,'1 人口3 (2)'!D51,'1 人口3 (2)'!D22)</f>
        <v>80942</v>
      </c>
      <c r="E7" s="9">
        <f>SUM(F7:G7)</f>
        <v>173692</v>
      </c>
      <c r="F7" s="9">
        <f>SUM(F9,F18,F26,F34,F39,F44,F49,F51,F59,'1 人口3 (2)'!F7,'1 人口3 (2)'!F15,'1 人口3 (2)'!F24,'1 人口3 (2)'!F34,'1 人口3 (2)'!F43,'1 人口3 (2)'!F51,'1 人口3 (2)'!F22)</f>
        <v>86925</v>
      </c>
      <c r="G7" s="9">
        <f>SUM(G9,G18,G26,G34,G39,G44,G49,G51,G59,'1 人口3 (2)'!G7,'1 人口3 (2)'!G15,'1 人口3 (2)'!G24,'1 人口3 (2)'!G34,'1 人口3 (2)'!G43,'1 人口3 (2)'!G51,'1 人口3 (2)'!G22)</f>
        <v>86767</v>
      </c>
      <c r="H7" s="23">
        <f>E7/D7</f>
        <v>2.1458822366632897</v>
      </c>
      <c r="I7" s="26"/>
      <c r="J7" s="32">
        <v>1.145</v>
      </c>
      <c r="K7" s="22">
        <v>0.66</v>
      </c>
      <c r="L7" s="4">
        <f>E7/24.38</f>
        <v>7124.364232977851</v>
      </c>
      <c r="N7" s="2">
        <v>173692</v>
      </c>
    </row>
    <row r="8" spans="1:12" ht="6" customHeight="1">
      <c r="A8" s="278"/>
      <c r="B8" s="278"/>
      <c r="C8" s="79"/>
      <c r="D8" s="37"/>
      <c r="E8" s="38"/>
      <c r="F8" s="38"/>
      <c r="G8" s="38"/>
      <c r="H8" s="62"/>
      <c r="I8" s="103"/>
      <c r="J8" s="38"/>
      <c r="K8" s="62"/>
      <c r="L8" s="38"/>
    </row>
    <row r="9" spans="1:14" ht="13.5">
      <c r="A9" s="277" t="s">
        <v>12</v>
      </c>
      <c r="B9" s="277"/>
      <c r="C9" s="117"/>
      <c r="D9" s="9">
        <f>SUM(D10:D16)</f>
        <v>9190</v>
      </c>
      <c r="E9" s="4">
        <f>SUM(E10:E16)</f>
        <v>19464</v>
      </c>
      <c r="F9" s="4">
        <f>SUM(F10:F16)</f>
        <v>9656</v>
      </c>
      <c r="G9" s="4">
        <f>SUM(G10:G16)</f>
        <v>9808</v>
      </c>
      <c r="H9" s="22">
        <f>E9/D9</f>
        <v>2.1179542981501633</v>
      </c>
      <c r="I9" s="19"/>
      <c r="J9" s="4">
        <f>SUM(J10:J16)</f>
        <v>-163</v>
      </c>
      <c r="K9" s="22">
        <f>J9/(E9-J9)*100</f>
        <v>-0.830488612625465</v>
      </c>
      <c r="L9" s="4">
        <f>E9/1.746</f>
        <v>11147.766323024054</v>
      </c>
      <c r="N9" s="2">
        <v>19464</v>
      </c>
    </row>
    <row r="10" spans="1:14" ht="13.5">
      <c r="A10" s="100"/>
      <c r="B10" s="100" t="s">
        <v>13</v>
      </c>
      <c r="C10" s="79"/>
      <c r="D10" s="37">
        <v>1901</v>
      </c>
      <c r="E10" s="38">
        <f>SUM(F10:G10)</f>
        <v>3913</v>
      </c>
      <c r="F10" s="38">
        <v>1908</v>
      </c>
      <c r="G10" s="38">
        <v>2005</v>
      </c>
      <c r="H10" s="62">
        <f aca="true" t="shared" si="0" ref="H10:H32">E10/D10</f>
        <v>2.0583903208837455</v>
      </c>
      <c r="I10" s="103">
        <v>3914</v>
      </c>
      <c r="J10" s="38">
        <f>E10-I10</f>
        <v>-1</v>
      </c>
      <c r="K10" s="62">
        <f aca="true" t="shared" si="1" ref="K10:K16">J10/(E10-J10)*100</f>
        <v>-0.02554931016862545</v>
      </c>
      <c r="L10" s="38">
        <f>E10/0.239</f>
        <v>16372.384937238494</v>
      </c>
      <c r="N10" s="2">
        <v>3913</v>
      </c>
    </row>
    <row r="11" spans="1:14" ht="13.5">
      <c r="A11" s="100"/>
      <c r="B11" s="100" t="s">
        <v>14</v>
      </c>
      <c r="C11" s="79"/>
      <c r="D11" s="37">
        <v>1540</v>
      </c>
      <c r="E11" s="38">
        <f aca="true" t="shared" si="2" ref="E11:E16">SUM(F11:G11)</f>
        <v>2973</v>
      </c>
      <c r="F11" s="38">
        <v>1476</v>
      </c>
      <c r="G11" s="38">
        <v>1497</v>
      </c>
      <c r="H11" s="62">
        <f t="shared" si="0"/>
        <v>1.9305194805194805</v>
      </c>
      <c r="I11" s="103">
        <v>2940</v>
      </c>
      <c r="J11" s="38">
        <f aca="true" t="shared" si="3" ref="J11:J16">E11-I11</f>
        <v>33</v>
      </c>
      <c r="K11" s="62">
        <f t="shared" si="1"/>
        <v>1.1224489795918366</v>
      </c>
      <c r="L11" s="38">
        <f>E11/0.238</f>
        <v>12491.596638655463</v>
      </c>
      <c r="N11" s="2">
        <v>2973</v>
      </c>
    </row>
    <row r="12" spans="1:14" ht="13.5">
      <c r="A12" s="100"/>
      <c r="B12" s="100" t="s">
        <v>15</v>
      </c>
      <c r="C12" s="79"/>
      <c r="D12" s="37">
        <v>410</v>
      </c>
      <c r="E12" s="38">
        <f t="shared" si="2"/>
        <v>902</v>
      </c>
      <c r="F12" s="38">
        <v>478</v>
      </c>
      <c r="G12" s="38">
        <v>424</v>
      </c>
      <c r="H12" s="62">
        <f t="shared" si="0"/>
        <v>2.2</v>
      </c>
      <c r="I12" s="103">
        <v>884</v>
      </c>
      <c r="J12" s="38">
        <f t="shared" si="3"/>
        <v>18</v>
      </c>
      <c r="K12" s="62">
        <f t="shared" si="1"/>
        <v>2.0361990950226243</v>
      </c>
      <c r="L12" s="38">
        <f>E12/0.294</f>
        <v>3068.0272108843537</v>
      </c>
      <c r="N12" s="2">
        <v>902</v>
      </c>
    </row>
    <row r="13" spans="1:14" ht="13.5">
      <c r="A13" s="100"/>
      <c r="B13" s="100" t="s">
        <v>16</v>
      </c>
      <c r="C13" s="79"/>
      <c r="D13" s="37">
        <v>818</v>
      </c>
      <c r="E13" s="38">
        <f t="shared" si="2"/>
        <v>1720</v>
      </c>
      <c r="F13" s="38">
        <v>883</v>
      </c>
      <c r="G13" s="38">
        <v>837</v>
      </c>
      <c r="H13" s="62">
        <f t="shared" si="0"/>
        <v>2.1026894865525674</v>
      </c>
      <c r="I13" s="103">
        <v>1776</v>
      </c>
      <c r="J13" s="38">
        <f t="shared" si="3"/>
        <v>-56</v>
      </c>
      <c r="K13" s="62">
        <f t="shared" si="1"/>
        <v>-3.153153153153153</v>
      </c>
      <c r="L13" s="38">
        <f>E13/0.167</f>
        <v>10299.40119760479</v>
      </c>
      <c r="N13" s="2">
        <v>1720</v>
      </c>
    </row>
    <row r="14" spans="1:14" ht="13.5">
      <c r="A14" s="100"/>
      <c r="B14" s="100" t="s">
        <v>17</v>
      </c>
      <c r="C14" s="79"/>
      <c r="D14" s="37">
        <v>685</v>
      </c>
      <c r="E14" s="38">
        <f t="shared" si="2"/>
        <v>1460</v>
      </c>
      <c r="F14" s="38">
        <v>702</v>
      </c>
      <c r="G14" s="38">
        <v>758</v>
      </c>
      <c r="H14" s="62">
        <f t="shared" si="0"/>
        <v>2.1313868613138687</v>
      </c>
      <c r="I14" s="103">
        <v>1467</v>
      </c>
      <c r="J14" s="38">
        <f t="shared" si="3"/>
        <v>-7</v>
      </c>
      <c r="K14" s="62">
        <f t="shared" si="1"/>
        <v>-0.47716428084526247</v>
      </c>
      <c r="L14" s="38">
        <f>E14/0.152</f>
        <v>9605.263157894737</v>
      </c>
      <c r="N14" s="2">
        <v>1460</v>
      </c>
    </row>
    <row r="15" spans="1:14" ht="13.5">
      <c r="A15" s="100"/>
      <c r="B15" s="100" t="s">
        <v>18</v>
      </c>
      <c r="C15" s="79"/>
      <c r="D15" s="37">
        <v>2508</v>
      </c>
      <c r="E15" s="38">
        <f t="shared" si="2"/>
        <v>5186</v>
      </c>
      <c r="F15" s="38">
        <v>2566</v>
      </c>
      <c r="G15" s="38">
        <v>2620</v>
      </c>
      <c r="H15" s="62">
        <f t="shared" si="0"/>
        <v>2.0677830940988837</v>
      </c>
      <c r="I15" s="103">
        <v>5311</v>
      </c>
      <c r="J15" s="38">
        <f t="shared" si="3"/>
        <v>-125</v>
      </c>
      <c r="K15" s="62">
        <f t="shared" si="1"/>
        <v>-2.3536057239691206</v>
      </c>
      <c r="L15" s="38">
        <f>E15/0.397</f>
        <v>13062.972292191434</v>
      </c>
      <c r="N15" s="2">
        <v>5186</v>
      </c>
    </row>
    <row r="16" spans="1:14" ht="13.5">
      <c r="A16" s="100"/>
      <c r="B16" s="100" t="s">
        <v>19</v>
      </c>
      <c r="C16" s="79"/>
      <c r="D16" s="37">
        <v>1328</v>
      </c>
      <c r="E16" s="38">
        <f t="shared" si="2"/>
        <v>3310</v>
      </c>
      <c r="F16" s="38">
        <v>1643</v>
      </c>
      <c r="G16" s="38">
        <v>1667</v>
      </c>
      <c r="H16" s="62">
        <f t="shared" si="0"/>
        <v>2.4924698795180724</v>
      </c>
      <c r="I16" s="103">
        <v>3335</v>
      </c>
      <c r="J16" s="38">
        <f t="shared" si="3"/>
        <v>-25</v>
      </c>
      <c r="K16" s="62">
        <f t="shared" si="1"/>
        <v>-0.7496251874062968</v>
      </c>
      <c r="L16" s="38">
        <f>E16/0.259</f>
        <v>12779.92277992278</v>
      </c>
      <c r="N16" s="2">
        <v>3310</v>
      </c>
    </row>
    <row r="17" spans="1:12" ht="6" customHeight="1">
      <c r="A17" s="100"/>
      <c r="B17" s="100"/>
      <c r="C17" s="79"/>
      <c r="D17" s="37"/>
      <c r="E17" s="38"/>
      <c r="F17" s="38"/>
      <c r="G17" s="38"/>
      <c r="H17" s="62"/>
      <c r="I17" s="103"/>
      <c r="J17" s="38"/>
      <c r="K17" s="62"/>
      <c r="L17" s="38"/>
    </row>
    <row r="18" spans="1:14" ht="13.5">
      <c r="A18" s="277" t="s">
        <v>20</v>
      </c>
      <c r="B18" s="277"/>
      <c r="C18" s="118"/>
      <c r="D18" s="9">
        <f>SUM(D19:D24)</f>
        <v>4645</v>
      </c>
      <c r="E18" s="4">
        <f>SUM(E19:E24)</f>
        <v>9506</v>
      </c>
      <c r="F18" s="4">
        <f>SUM(F19:F24)</f>
        <v>4699</v>
      </c>
      <c r="G18" s="4">
        <f>SUM(G19:G24)</f>
        <v>4807</v>
      </c>
      <c r="H18" s="22">
        <f t="shared" si="0"/>
        <v>2.0465016146393973</v>
      </c>
      <c r="I18" s="19"/>
      <c r="J18" s="4">
        <f>SUM(J19:J24)</f>
        <v>66</v>
      </c>
      <c r="K18" s="22">
        <f>J18/(E18-J18)*100</f>
        <v>0.6991525423728814</v>
      </c>
      <c r="L18" s="4">
        <f>E18/1.319</f>
        <v>7206.974981046247</v>
      </c>
      <c r="N18" s="2">
        <v>9506</v>
      </c>
    </row>
    <row r="19" spans="1:14" ht="13.5">
      <c r="A19" s="100"/>
      <c r="B19" s="100" t="s">
        <v>13</v>
      </c>
      <c r="C19" s="79"/>
      <c r="D19" s="37">
        <v>1014</v>
      </c>
      <c r="E19" s="38">
        <f aca="true" t="shared" si="4" ref="E19:E24">SUM(F19:G19)</f>
        <v>2107</v>
      </c>
      <c r="F19" s="38">
        <v>1056</v>
      </c>
      <c r="G19" s="38">
        <v>1051</v>
      </c>
      <c r="H19" s="62">
        <f t="shared" si="0"/>
        <v>2.0779092702169626</v>
      </c>
      <c r="I19" s="103">
        <v>2113</v>
      </c>
      <c r="J19" s="38">
        <f aca="true" t="shared" si="5" ref="J19:J24">E19-I19</f>
        <v>-6</v>
      </c>
      <c r="K19" s="62">
        <f aca="true" t="shared" si="6" ref="K19:K24">J19/(E19-J19)*100</f>
        <v>-0.28395646000946523</v>
      </c>
      <c r="L19" s="38">
        <f>E19/0.275</f>
        <v>7661.818181818181</v>
      </c>
      <c r="N19" s="2">
        <v>2107</v>
      </c>
    </row>
    <row r="20" spans="1:14" ht="13.5">
      <c r="A20" s="100"/>
      <c r="B20" s="100" t="s">
        <v>14</v>
      </c>
      <c r="C20" s="79"/>
      <c r="D20" s="37">
        <v>1192</v>
      </c>
      <c r="E20" s="38">
        <f t="shared" si="4"/>
        <v>2292</v>
      </c>
      <c r="F20" s="38">
        <v>1112</v>
      </c>
      <c r="G20" s="38">
        <v>1180</v>
      </c>
      <c r="H20" s="62">
        <f t="shared" si="0"/>
        <v>1.9228187919463087</v>
      </c>
      <c r="I20" s="103">
        <v>2315</v>
      </c>
      <c r="J20" s="38">
        <f t="shared" si="5"/>
        <v>-23</v>
      </c>
      <c r="K20" s="62">
        <f t="shared" si="6"/>
        <v>-0.9935205183585313</v>
      </c>
      <c r="L20" s="38">
        <f>E20/0.226</f>
        <v>10141.592920353982</v>
      </c>
      <c r="N20" s="2">
        <v>2292</v>
      </c>
    </row>
    <row r="21" spans="1:14" ht="13.5">
      <c r="A21" s="100"/>
      <c r="B21" s="100" t="s">
        <v>15</v>
      </c>
      <c r="C21" s="79"/>
      <c r="D21" s="37">
        <v>811</v>
      </c>
      <c r="E21" s="38">
        <f t="shared" si="4"/>
        <v>1483</v>
      </c>
      <c r="F21" s="38">
        <v>737</v>
      </c>
      <c r="G21" s="38">
        <v>746</v>
      </c>
      <c r="H21" s="62">
        <f t="shared" si="0"/>
        <v>1.8286066584463625</v>
      </c>
      <c r="I21" s="103">
        <v>1423</v>
      </c>
      <c r="J21" s="38">
        <f t="shared" si="5"/>
        <v>60</v>
      </c>
      <c r="K21" s="62">
        <f t="shared" si="6"/>
        <v>4.2164441321152495</v>
      </c>
      <c r="L21" s="38">
        <f>E21/0.197</f>
        <v>7527.918781725888</v>
      </c>
      <c r="N21" s="2">
        <v>1483</v>
      </c>
    </row>
    <row r="22" spans="1:14" ht="13.5">
      <c r="A22" s="100"/>
      <c r="B22" s="100" t="s">
        <v>16</v>
      </c>
      <c r="C22" s="79"/>
      <c r="D22" s="37">
        <v>978</v>
      </c>
      <c r="E22" s="38">
        <f t="shared" si="4"/>
        <v>2069</v>
      </c>
      <c r="F22" s="38">
        <v>1019</v>
      </c>
      <c r="G22" s="38">
        <v>1050</v>
      </c>
      <c r="H22" s="62">
        <f t="shared" si="0"/>
        <v>2.1155419222903884</v>
      </c>
      <c r="I22" s="103">
        <v>2056</v>
      </c>
      <c r="J22" s="38">
        <f t="shared" si="5"/>
        <v>13</v>
      </c>
      <c r="K22" s="62">
        <f t="shared" si="6"/>
        <v>0.632295719844358</v>
      </c>
      <c r="L22" s="38">
        <f>E22/0.244</f>
        <v>8479.508196721312</v>
      </c>
      <c r="N22" s="2">
        <v>2069</v>
      </c>
    </row>
    <row r="23" spans="1:14" ht="13.5">
      <c r="A23" s="100"/>
      <c r="B23" s="100" t="s">
        <v>17</v>
      </c>
      <c r="C23" s="79"/>
      <c r="D23" s="37">
        <v>423</v>
      </c>
      <c r="E23" s="38">
        <f t="shared" si="4"/>
        <v>974</v>
      </c>
      <c r="F23" s="38">
        <v>487</v>
      </c>
      <c r="G23" s="38">
        <v>487</v>
      </c>
      <c r="H23" s="62">
        <f t="shared" si="0"/>
        <v>2.3026004728132388</v>
      </c>
      <c r="I23" s="103">
        <v>939</v>
      </c>
      <c r="J23" s="38">
        <f t="shared" si="5"/>
        <v>35</v>
      </c>
      <c r="K23" s="62">
        <f t="shared" si="6"/>
        <v>3.727369542066028</v>
      </c>
      <c r="L23" s="38">
        <f>E23/0.162</f>
        <v>6012.3456790123455</v>
      </c>
      <c r="N23" s="2">
        <v>974</v>
      </c>
    </row>
    <row r="24" spans="1:14" ht="13.5">
      <c r="A24" s="100"/>
      <c r="B24" s="100" t="s">
        <v>18</v>
      </c>
      <c r="C24" s="79"/>
      <c r="D24" s="37">
        <v>227</v>
      </c>
      <c r="E24" s="38">
        <f t="shared" si="4"/>
        <v>581</v>
      </c>
      <c r="F24" s="38">
        <v>288</v>
      </c>
      <c r="G24" s="38">
        <v>293</v>
      </c>
      <c r="H24" s="62">
        <f t="shared" si="0"/>
        <v>2.5594713656387666</v>
      </c>
      <c r="I24" s="103">
        <v>594</v>
      </c>
      <c r="J24" s="38">
        <f t="shared" si="5"/>
        <v>-13</v>
      </c>
      <c r="K24" s="62">
        <f t="shared" si="6"/>
        <v>-2.1885521885521886</v>
      </c>
      <c r="L24" s="38">
        <f>E24/0.215</f>
        <v>2702.3255813953488</v>
      </c>
      <c r="N24" s="2">
        <v>581</v>
      </c>
    </row>
    <row r="25" spans="1:12" ht="6" customHeight="1">
      <c r="A25" s="100"/>
      <c r="B25" s="100"/>
      <c r="C25" s="79"/>
      <c r="D25" s="37"/>
      <c r="E25" s="38"/>
      <c r="F25" s="38"/>
      <c r="G25" s="38"/>
      <c r="H25" s="62"/>
      <c r="I25" s="103"/>
      <c r="J25" s="38"/>
      <c r="K25" s="62"/>
      <c r="L25" s="38"/>
    </row>
    <row r="26" spans="1:14" ht="13.5">
      <c r="A26" s="277" t="s">
        <v>21</v>
      </c>
      <c r="B26" s="277"/>
      <c r="C26" s="118"/>
      <c r="D26" s="9">
        <f>SUM(D27:D32)</f>
        <v>8425</v>
      </c>
      <c r="E26" s="4">
        <f>SUM(E27:E32)</f>
        <v>16163</v>
      </c>
      <c r="F26" s="4">
        <f>SUM(F27:F32)</f>
        <v>8181</v>
      </c>
      <c r="G26" s="4">
        <f>SUM(G27:G32)</f>
        <v>7982</v>
      </c>
      <c r="H26" s="22">
        <f t="shared" si="0"/>
        <v>1.9184569732937686</v>
      </c>
      <c r="I26" s="19"/>
      <c r="J26" s="4">
        <f>SUM(J27:J32)</f>
        <v>-2</v>
      </c>
      <c r="K26" s="22">
        <f>J26/(E26-J26)*100</f>
        <v>-0.012372409526755336</v>
      </c>
      <c r="L26" s="4">
        <f>E26/1.416</f>
        <v>11414.54802259887</v>
      </c>
      <c r="N26" s="2">
        <v>16163</v>
      </c>
    </row>
    <row r="27" spans="1:14" ht="13.5">
      <c r="A27" s="100"/>
      <c r="B27" s="100" t="s">
        <v>13</v>
      </c>
      <c r="C27" s="79"/>
      <c r="D27" s="37">
        <v>2512</v>
      </c>
      <c r="E27" s="38">
        <f aca="true" t="shared" si="7" ref="E27:E32">SUM(F27:G27)</f>
        <v>4330</v>
      </c>
      <c r="F27" s="38">
        <v>2320</v>
      </c>
      <c r="G27" s="38">
        <v>2010</v>
      </c>
      <c r="H27" s="62">
        <f t="shared" si="0"/>
        <v>1.7237261146496816</v>
      </c>
      <c r="I27" s="103">
        <v>4377</v>
      </c>
      <c r="J27" s="38">
        <f aca="true" t="shared" si="8" ref="J27:J32">E27-I27</f>
        <v>-47</v>
      </c>
      <c r="K27" s="62">
        <f aca="true" t="shared" si="9" ref="K27:K32">J27/(E27-J27)*100</f>
        <v>-1.0737948366461045</v>
      </c>
      <c r="L27" s="38">
        <f>E27/0.271</f>
        <v>15977.859778597785</v>
      </c>
      <c r="N27" s="2">
        <v>4330</v>
      </c>
    </row>
    <row r="28" spans="1:14" ht="13.5">
      <c r="A28" s="100"/>
      <c r="B28" s="100" t="s">
        <v>14</v>
      </c>
      <c r="C28" s="79"/>
      <c r="D28" s="37">
        <v>1326</v>
      </c>
      <c r="E28" s="38">
        <f t="shared" si="7"/>
        <v>2470</v>
      </c>
      <c r="F28" s="38">
        <v>1235</v>
      </c>
      <c r="G28" s="38">
        <v>1235</v>
      </c>
      <c r="H28" s="62">
        <f t="shared" si="0"/>
        <v>1.8627450980392157</v>
      </c>
      <c r="I28" s="103">
        <v>2495</v>
      </c>
      <c r="J28" s="38">
        <f t="shared" si="8"/>
        <v>-25</v>
      </c>
      <c r="K28" s="62">
        <f t="shared" si="9"/>
        <v>-1.002004008016032</v>
      </c>
      <c r="L28" s="38">
        <f>E28/0.194</f>
        <v>12731.958762886597</v>
      </c>
      <c r="N28" s="2">
        <v>2470</v>
      </c>
    </row>
    <row r="29" spans="1:14" ht="13.5">
      <c r="A29" s="100"/>
      <c r="B29" s="100" t="s">
        <v>15</v>
      </c>
      <c r="C29" s="79"/>
      <c r="D29" s="37">
        <v>939</v>
      </c>
      <c r="E29" s="38">
        <f t="shared" si="7"/>
        <v>1827</v>
      </c>
      <c r="F29" s="38">
        <v>868</v>
      </c>
      <c r="G29" s="38">
        <v>959</v>
      </c>
      <c r="H29" s="62">
        <f t="shared" si="0"/>
        <v>1.9456869009584665</v>
      </c>
      <c r="I29" s="103">
        <v>1827</v>
      </c>
      <c r="J29" s="38">
        <f t="shared" si="8"/>
        <v>0</v>
      </c>
      <c r="K29" s="62">
        <f t="shared" si="9"/>
        <v>0</v>
      </c>
      <c r="L29" s="38">
        <f>E29/0.154</f>
        <v>11863.636363636364</v>
      </c>
      <c r="N29" s="2">
        <v>1827</v>
      </c>
    </row>
    <row r="30" spans="1:14" ht="13.5">
      <c r="A30" s="100"/>
      <c r="B30" s="100" t="s">
        <v>16</v>
      </c>
      <c r="C30" s="79"/>
      <c r="D30" s="37">
        <v>585</v>
      </c>
      <c r="E30" s="38">
        <f t="shared" si="7"/>
        <v>1156</v>
      </c>
      <c r="F30" s="38">
        <v>568</v>
      </c>
      <c r="G30" s="38">
        <v>588</v>
      </c>
      <c r="H30" s="62">
        <f t="shared" si="0"/>
        <v>1.9760683760683762</v>
      </c>
      <c r="I30" s="103">
        <v>1114</v>
      </c>
      <c r="J30" s="38">
        <f t="shared" si="8"/>
        <v>42</v>
      </c>
      <c r="K30" s="62">
        <f t="shared" si="9"/>
        <v>3.7701974865350087</v>
      </c>
      <c r="L30" s="38">
        <f>E30/0.137</f>
        <v>8437.956204379561</v>
      </c>
      <c r="N30" s="2">
        <v>1156</v>
      </c>
    </row>
    <row r="31" spans="1:14" ht="13.5">
      <c r="A31" s="100"/>
      <c r="B31" s="100" t="s">
        <v>17</v>
      </c>
      <c r="C31" s="79"/>
      <c r="D31" s="37">
        <v>925</v>
      </c>
      <c r="E31" s="38">
        <f t="shared" si="7"/>
        <v>2185</v>
      </c>
      <c r="F31" s="38">
        <v>1112</v>
      </c>
      <c r="G31" s="38">
        <v>1073</v>
      </c>
      <c r="H31" s="62">
        <f t="shared" si="0"/>
        <v>2.362162162162162</v>
      </c>
      <c r="I31" s="103">
        <v>2174</v>
      </c>
      <c r="J31" s="38">
        <f t="shared" si="8"/>
        <v>11</v>
      </c>
      <c r="K31" s="62">
        <f t="shared" si="9"/>
        <v>0.5059797608095675</v>
      </c>
      <c r="L31" s="38">
        <f>E31/0.319</f>
        <v>6849.529780564263</v>
      </c>
      <c r="N31" s="2">
        <v>2185</v>
      </c>
    </row>
    <row r="32" spans="1:14" ht="13.5">
      <c r="A32" s="100"/>
      <c r="B32" s="100" t="s">
        <v>18</v>
      </c>
      <c r="C32" s="79"/>
      <c r="D32" s="37">
        <v>2138</v>
      </c>
      <c r="E32" s="38">
        <f t="shared" si="7"/>
        <v>4195</v>
      </c>
      <c r="F32" s="38">
        <v>2078</v>
      </c>
      <c r="G32" s="38">
        <v>2117</v>
      </c>
      <c r="H32" s="62">
        <f t="shared" si="0"/>
        <v>1.9621141253507952</v>
      </c>
      <c r="I32" s="103">
        <v>4178</v>
      </c>
      <c r="J32" s="38">
        <f t="shared" si="8"/>
        <v>17</v>
      </c>
      <c r="K32" s="62">
        <f t="shared" si="9"/>
        <v>0.40689325035902346</v>
      </c>
      <c r="L32" s="38">
        <f>E32/0.341</f>
        <v>12302.052785923754</v>
      </c>
      <c r="N32" s="2">
        <v>4195</v>
      </c>
    </row>
    <row r="33" spans="1:12" ht="6" customHeight="1">
      <c r="A33" s="100"/>
      <c r="B33" s="100"/>
      <c r="C33" s="79"/>
      <c r="D33" s="37"/>
      <c r="E33" s="38"/>
      <c r="F33" s="38"/>
      <c r="G33" s="38"/>
      <c r="H33" s="62"/>
      <c r="I33" s="103"/>
      <c r="J33" s="38"/>
      <c r="K33" s="62"/>
      <c r="L33" s="38"/>
    </row>
    <row r="34" spans="1:14" ht="13.5">
      <c r="A34" s="277" t="s">
        <v>22</v>
      </c>
      <c r="B34" s="277"/>
      <c r="C34" s="118"/>
      <c r="D34" s="9">
        <f>SUM(D35:D37)</f>
        <v>5043</v>
      </c>
      <c r="E34" s="4">
        <f>SUM(E35:E37)</f>
        <v>9855</v>
      </c>
      <c r="F34" s="4">
        <f>SUM(F35:F37)</f>
        <v>4667</v>
      </c>
      <c r="G34" s="4">
        <f>SUM(G35:G37)</f>
        <v>5188</v>
      </c>
      <c r="H34" s="22">
        <f>E34/D34</f>
        <v>1.9541939321832242</v>
      </c>
      <c r="I34" s="19"/>
      <c r="J34" s="4">
        <f>SUM(J35:J37)</f>
        <v>-123</v>
      </c>
      <c r="K34" s="22">
        <f>J34/(E34-J34)*100</f>
        <v>-1.2327119663259172</v>
      </c>
      <c r="L34" s="4">
        <f>E34/0.738</f>
        <v>13353.658536585366</v>
      </c>
      <c r="N34" s="2">
        <v>9855</v>
      </c>
    </row>
    <row r="35" spans="1:14" ht="13.5">
      <c r="A35" s="100"/>
      <c r="B35" s="100" t="s">
        <v>13</v>
      </c>
      <c r="C35" s="79"/>
      <c r="D35" s="37">
        <v>1825</v>
      </c>
      <c r="E35" s="38">
        <f>SUM(F35:G35)</f>
        <v>3446</v>
      </c>
      <c r="F35" s="38">
        <v>1563</v>
      </c>
      <c r="G35" s="38">
        <v>1883</v>
      </c>
      <c r="H35" s="62">
        <f>E35/D35</f>
        <v>1.8882191780821918</v>
      </c>
      <c r="I35" s="103">
        <v>3517</v>
      </c>
      <c r="J35" s="38">
        <f>E35-I35</f>
        <v>-71</v>
      </c>
      <c r="K35" s="62">
        <f>J35/(E35-J35)*100</f>
        <v>-2.0187659937446685</v>
      </c>
      <c r="L35" s="38">
        <f>E35/0.181</f>
        <v>19038.67403314917</v>
      </c>
      <c r="N35" s="2">
        <v>3446</v>
      </c>
    </row>
    <row r="36" spans="1:14" ht="13.5">
      <c r="A36" s="100"/>
      <c r="B36" s="100" t="s">
        <v>14</v>
      </c>
      <c r="C36" s="79"/>
      <c r="D36" s="37">
        <v>2250</v>
      </c>
      <c r="E36" s="38">
        <f>SUM(F36:G36)</f>
        <v>4494</v>
      </c>
      <c r="F36" s="38">
        <v>2185</v>
      </c>
      <c r="G36" s="38">
        <v>2309</v>
      </c>
      <c r="H36" s="62">
        <f>E36/D36</f>
        <v>1.9973333333333334</v>
      </c>
      <c r="I36" s="103">
        <v>4538</v>
      </c>
      <c r="J36" s="38">
        <f>E36-I36</f>
        <v>-44</v>
      </c>
      <c r="K36" s="62">
        <f>J36/(E36-J36)*100</f>
        <v>-0.9695901278096077</v>
      </c>
      <c r="L36" s="38">
        <f>E36/0.317</f>
        <v>14176.656151419558</v>
      </c>
      <c r="N36" s="2">
        <v>4494</v>
      </c>
    </row>
    <row r="37" spans="1:14" ht="13.5">
      <c r="A37" s="100"/>
      <c r="B37" s="100" t="s">
        <v>15</v>
      </c>
      <c r="C37" s="79"/>
      <c r="D37" s="37">
        <v>968</v>
      </c>
      <c r="E37" s="38">
        <f>SUM(F37:G37)</f>
        <v>1915</v>
      </c>
      <c r="F37" s="38">
        <v>919</v>
      </c>
      <c r="G37" s="38">
        <v>996</v>
      </c>
      <c r="H37" s="62">
        <f>E37/D37</f>
        <v>1.978305785123967</v>
      </c>
      <c r="I37" s="103">
        <v>1923</v>
      </c>
      <c r="J37" s="38">
        <f>E37-I37</f>
        <v>-8</v>
      </c>
      <c r="K37" s="62">
        <f>J37/(E37-J37)*100</f>
        <v>-0.41601664066562666</v>
      </c>
      <c r="L37" s="38">
        <f>E37/0.24</f>
        <v>7979.166666666667</v>
      </c>
      <c r="N37" s="2">
        <v>1915</v>
      </c>
    </row>
    <row r="38" spans="1:12" ht="6" customHeight="1">
      <c r="A38" s="100"/>
      <c r="B38" s="100"/>
      <c r="C38" s="79"/>
      <c r="D38" s="37"/>
      <c r="E38" s="38"/>
      <c r="F38" s="38"/>
      <c r="G38" s="38"/>
      <c r="H38" s="62"/>
      <c r="I38" s="103"/>
      <c r="J38" s="38"/>
      <c r="K38" s="62"/>
      <c r="L38" s="38"/>
    </row>
    <row r="39" spans="1:14" ht="13.5">
      <c r="A39" s="277" t="s">
        <v>23</v>
      </c>
      <c r="B39" s="277"/>
      <c r="C39" s="118"/>
      <c r="D39" s="9">
        <f>SUM(D40:D42)</f>
        <v>5469</v>
      </c>
      <c r="E39" s="4">
        <f>SUM(E40:E42)</f>
        <v>10247</v>
      </c>
      <c r="F39" s="4">
        <f>SUM(F40:F42)</f>
        <v>5203</v>
      </c>
      <c r="G39" s="4">
        <f>SUM(G40:G42)</f>
        <v>5044</v>
      </c>
      <c r="H39" s="22">
        <f>E39/D39</f>
        <v>1.87365149021759</v>
      </c>
      <c r="I39" s="19"/>
      <c r="J39" s="4">
        <f>SUM(J40:J42)</f>
        <v>318</v>
      </c>
      <c r="K39" s="22">
        <f>J39/(E39-J39)*100</f>
        <v>3.202739450095679</v>
      </c>
      <c r="L39" s="4">
        <f>E39/1.021</f>
        <v>10036.238981390794</v>
      </c>
      <c r="N39" s="2">
        <v>10247</v>
      </c>
    </row>
    <row r="40" spans="1:14" ht="13.5">
      <c r="A40" s="100"/>
      <c r="B40" s="100" t="s">
        <v>13</v>
      </c>
      <c r="C40" s="79"/>
      <c r="D40" s="37">
        <v>1836</v>
      </c>
      <c r="E40" s="38">
        <f>SUM(F40:G40)</f>
        <v>3169</v>
      </c>
      <c r="F40" s="38">
        <v>1644</v>
      </c>
      <c r="G40" s="38">
        <v>1525</v>
      </c>
      <c r="H40" s="62">
        <f>E40/D40</f>
        <v>1.7260348583877996</v>
      </c>
      <c r="I40" s="103">
        <v>3022</v>
      </c>
      <c r="J40" s="38">
        <f>E40-I40</f>
        <v>147</v>
      </c>
      <c r="K40" s="62">
        <f>J40/(E40-J40)*100</f>
        <v>4.864328259430841</v>
      </c>
      <c r="L40" s="38">
        <f>E40/0.219</f>
        <v>14470.319634703197</v>
      </c>
      <c r="N40" s="2">
        <v>3169</v>
      </c>
    </row>
    <row r="41" spans="1:14" ht="13.5">
      <c r="A41" s="100"/>
      <c r="B41" s="100" t="s">
        <v>14</v>
      </c>
      <c r="C41" s="79"/>
      <c r="D41" s="37">
        <v>1148</v>
      </c>
      <c r="E41" s="38">
        <f>SUM(F41:G41)</f>
        <v>2259</v>
      </c>
      <c r="F41" s="38">
        <v>1101</v>
      </c>
      <c r="G41" s="38">
        <v>1158</v>
      </c>
      <c r="H41" s="62">
        <f>E41/D41</f>
        <v>1.9677700348432057</v>
      </c>
      <c r="I41" s="103">
        <v>2237</v>
      </c>
      <c r="J41" s="38">
        <f>E41-I41</f>
        <v>22</v>
      </c>
      <c r="K41" s="62">
        <f>J41/(E41-J41)*100</f>
        <v>0.9834599910594547</v>
      </c>
      <c r="L41" s="38">
        <f>E41/0.305</f>
        <v>7406.55737704918</v>
      </c>
      <c r="N41" s="2">
        <v>2259</v>
      </c>
    </row>
    <row r="42" spans="1:14" ht="13.5">
      <c r="A42" s="100"/>
      <c r="B42" s="100" t="s">
        <v>15</v>
      </c>
      <c r="C42" s="79"/>
      <c r="D42" s="37">
        <v>2485</v>
      </c>
      <c r="E42" s="38">
        <f>SUM(F42:G42)</f>
        <v>4819</v>
      </c>
      <c r="F42" s="38">
        <v>2458</v>
      </c>
      <c r="G42" s="38">
        <v>2361</v>
      </c>
      <c r="H42" s="62">
        <f>E42/D42</f>
        <v>1.939235412474849</v>
      </c>
      <c r="I42" s="103">
        <v>4670</v>
      </c>
      <c r="J42" s="38">
        <f>E42-I42</f>
        <v>149</v>
      </c>
      <c r="K42" s="62">
        <f>J42/(E42-J42)*100</f>
        <v>3.1905781584582438</v>
      </c>
      <c r="L42" s="38">
        <f>E42/0.497</f>
        <v>9696.177062374245</v>
      </c>
      <c r="N42" s="2">
        <v>4819</v>
      </c>
    </row>
    <row r="43" spans="1:12" ht="6" customHeight="1">
      <c r="A43" s="100"/>
      <c r="B43" s="100"/>
      <c r="C43" s="79"/>
      <c r="D43" s="37"/>
      <c r="E43" s="38"/>
      <c r="F43" s="38"/>
      <c r="G43" s="38"/>
      <c r="H43" s="62"/>
      <c r="I43" s="103"/>
      <c r="J43" s="38"/>
      <c r="K43" s="62"/>
      <c r="L43" s="38"/>
    </row>
    <row r="44" spans="1:14" ht="13.5">
      <c r="A44" s="277" t="s">
        <v>24</v>
      </c>
      <c r="B44" s="277"/>
      <c r="C44" s="118"/>
      <c r="D44" s="9">
        <f>SUM(D45:D47)</f>
        <v>5391</v>
      </c>
      <c r="E44" s="4">
        <f>SUM(E45:E47)</f>
        <v>9646</v>
      </c>
      <c r="F44" s="4">
        <f>SUM(F45:F47)</f>
        <v>5139</v>
      </c>
      <c r="G44" s="4">
        <f>SUM(G45:G47)</f>
        <v>4507</v>
      </c>
      <c r="H44" s="22">
        <f>E44/D44</f>
        <v>1.7892784270079762</v>
      </c>
      <c r="I44" s="19"/>
      <c r="J44" s="4">
        <f>SUM(J45:J47)</f>
        <v>85</v>
      </c>
      <c r="K44" s="22">
        <f>J44/(E44-J44)*100</f>
        <v>0.8890283443154482</v>
      </c>
      <c r="L44" s="4">
        <f>E44/0.842</f>
        <v>11456.057007125892</v>
      </c>
      <c r="N44" s="2">
        <v>9646</v>
      </c>
    </row>
    <row r="45" spans="1:14" ht="13.5">
      <c r="A45" s="100"/>
      <c r="B45" s="100" t="s">
        <v>13</v>
      </c>
      <c r="C45" s="79"/>
      <c r="D45" s="37">
        <v>1407</v>
      </c>
      <c r="E45" s="38">
        <f>SUM(F45:G45)</f>
        <v>2568</v>
      </c>
      <c r="F45" s="38">
        <v>1414</v>
      </c>
      <c r="G45" s="38">
        <v>1154</v>
      </c>
      <c r="H45" s="62">
        <f>E45/D45</f>
        <v>1.8251599147121536</v>
      </c>
      <c r="I45" s="103">
        <v>2576</v>
      </c>
      <c r="J45" s="38">
        <f>E45-I45</f>
        <v>-8</v>
      </c>
      <c r="K45" s="62">
        <f>J45/(E45-J45)*100</f>
        <v>-0.3105590062111801</v>
      </c>
      <c r="L45" s="38">
        <f>E45/0.44</f>
        <v>5836.363636363636</v>
      </c>
      <c r="N45" s="2">
        <v>2568</v>
      </c>
    </row>
    <row r="46" spans="1:14" ht="13.5">
      <c r="A46" s="100"/>
      <c r="B46" s="100" t="s">
        <v>14</v>
      </c>
      <c r="C46" s="79"/>
      <c r="D46" s="37">
        <v>2346</v>
      </c>
      <c r="E46" s="38">
        <f>SUM(F46:G46)</f>
        <v>4123</v>
      </c>
      <c r="F46" s="38">
        <v>2164</v>
      </c>
      <c r="G46" s="38">
        <v>1959</v>
      </c>
      <c r="H46" s="62">
        <f>E46/D46</f>
        <v>1.757459505541347</v>
      </c>
      <c r="I46" s="103">
        <v>4078</v>
      </c>
      <c r="J46" s="38">
        <f>E46-I46</f>
        <v>45</v>
      </c>
      <c r="K46" s="62">
        <f>J46/(E46-J46)*100</f>
        <v>1.1034820990681709</v>
      </c>
      <c r="L46" s="38">
        <f>E46/0.23</f>
        <v>17926.08695652174</v>
      </c>
      <c r="N46" s="2">
        <v>4123</v>
      </c>
    </row>
    <row r="47" spans="1:14" ht="13.5">
      <c r="A47" s="100"/>
      <c r="B47" s="100" t="s">
        <v>15</v>
      </c>
      <c r="C47" s="79"/>
      <c r="D47" s="37">
        <v>1638</v>
      </c>
      <c r="E47" s="38">
        <f>SUM(F47:G47)</f>
        <v>2955</v>
      </c>
      <c r="F47" s="38">
        <v>1561</v>
      </c>
      <c r="G47" s="38">
        <v>1394</v>
      </c>
      <c r="H47" s="62">
        <f>E47/D47</f>
        <v>1.804029304029304</v>
      </c>
      <c r="I47" s="103">
        <v>2907</v>
      </c>
      <c r="J47" s="38">
        <f>E47-I47</f>
        <v>48</v>
      </c>
      <c r="K47" s="62">
        <f>J47/(E47-J47)*100</f>
        <v>1.6511867905056758</v>
      </c>
      <c r="L47" s="38">
        <f>E47/0.172</f>
        <v>17180.232558139538</v>
      </c>
      <c r="N47" s="2">
        <v>2955</v>
      </c>
    </row>
    <row r="48" spans="1:12" ht="6" customHeight="1">
      <c r="A48" s="100"/>
      <c r="B48" s="100"/>
      <c r="C48" s="79"/>
      <c r="D48" s="37"/>
      <c r="E48" s="38"/>
      <c r="F48" s="38"/>
      <c r="G48" s="38"/>
      <c r="H48" s="62"/>
      <c r="I48" s="103"/>
      <c r="J48" s="38"/>
      <c r="K48" s="62"/>
      <c r="L48" s="38"/>
    </row>
    <row r="49" spans="1:14" ht="13.5">
      <c r="A49" s="277" t="s">
        <v>25</v>
      </c>
      <c r="B49" s="277"/>
      <c r="C49" s="118"/>
      <c r="D49" s="9">
        <v>1538</v>
      </c>
      <c r="E49" s="4">
        <f>SUM(F49:G49)</f>
        <v>2992</v>
      </c>
      <c r="F49" s="4">
        <v>1669</v>
      </c>
      <c r="G49" s="4">
        <v>1323</v>
      </c>
      <c r="H49" s="22">
        <f>E49/D49</f>
        <v>1.9453836150845254</v>
      </c>
      <c r="I49" s="19">
        <v>2947</v>
      </c>
      <c r="J49" s="4">
        <f>E49-I49</f>
        <v>45</v>
      </c>
      <c r="K49" s="22">
        <f>J49/(E49-J49)*100</f>
        <v>1.526976586359009</v>
      </c>
      <c r="L49" s="4">
        <f>E49/1.808</f>
        <v>1654.867256637168</v>
      </c>
      <c r="N49" s="2">
        <v>2992</v>
      </c>
    </row>
    <row r="50" spans="1:12" ht="6" customHeight="1">
      <c r="A50" s="100"/>
      <c r="B50" s="100"/>
      <c r="C50" s="79"/>
      <c r="D50" s="37"/>
      <c r="E50" s="38"/>
      <c r="F50" s="38"/>
      <c r="G50" s="38"/>
      <c r="H50" s="62"/>
      <c r="I50" s="103"/>
      <c r="J50" s="38"/>
      <c r="K50" s="62"/>
      <c r="L50" s="38"/>
    </row>
    <row r="51" spans="1:14" ht="13.5">
      <c r="A51" s="277" t="s">
        <v>26</v>
      </c>
      <c r="B51" s="277"/>
      <c r="C51" s="118"/>
      <c r="D51" s="9">
        <f>SUM(D52:D57)</f>
        <v>5792</v>
      </c>
      <c r="E51" s="4">
        <f>SUM(E52:E57)</f>
        <v>12812</v>
      </c>
      <c r="F51" s="4">
        <f>SUM(F52:F57)</f>
        <v>6477</v>
      </c>
      <c r="G51" s="4">
        <f>SUM(G52:G57)</f>
        <v>6335</v>
      </c>
      <c r="H51" s="22">
        <f aca="true" t="shared" si="10" ref="H51:H57">E51/D51</f>
        <v>2.2120165745856353</v>
      </c>
      <c r="I51" s="19"/>
      <c r="J51" s="4">
        <f>SUM(J52:J57)</f>
        <v>157</v>
      </c>
      <c r="K51" s="22">
        <f>J51/(E51-J51)*100</f>
        <v>1.2406163571710787</v>
      </c>
      <c r="L51" s="4">
        <f>E51/1.422</f>
        <v>9009.845288326302</v>
      </c>
      <c r="N51" s="2">
        <v>12812</v>
      </c>
    </row>
    <row r="52" spans="1:14" ht="13.5">
      <c r="A52" s="100"/>
      <c r="B52" s="100" t="s">
        <v>13</v>
      </c>
      <c r="C52" s="79"/>
      <c r="D52" s="37">
        <v>1032</v>
      </c>
      <c r="E52" s="38">
        <f aca="true" t="shared" si="11" ref="E52:E57">SUM(F52:G52)</f>
        <v>2175</v>
      </c>
      <c r="F52" s="38">
        <v>1209</v>
      </c>
      <c r="G52" s="38">
        <v>966</v>
      </c>
      <c r="H52" s="62">
        <f t="shared" si="10"/>
        <v>2.1075581395348837</v>
      </c>
      <c r="I52" s="103">
        <v>2113</v>
      </c>
      <c r="J52" s="38">
        <f aca="true" t="shared" si="12" ref="J52:J57">E52-I52</f>
        <v>62</v>
      </c>
      <c r="K52" s="62">
        <f aca="true" t="shared" si="13" ref="K52:K57">J52/(E52-J52)*100</f>
        <v>2.9342167534311407</v>
      </c>
      <c r="L52" s="38">
        <f>E52/0.35</f>
        <v>6214.285714285715</v>
      </c>
      <c r="N52" s="2">
        <v>2175</v>
      </c>
    </row>
    <row r="53" spans="1:14" ht="13.5">
      <c r="A53" s="100"/>
      <c r="B53" s="100" t="s">
        <v>14</v>
      </c>
      <c r="C53" s="79"/>
      <c r="D53" s="37">
        <v>806</v>
      </c>
      <c r="E53" s="38">
        <f t="shared" si="11"/>
        <v>2020</v>
      </c>
      <c r="F53" s="38">
        <v>1000</v>
      </c>
      <c r="G53" s="38">
        <v>1020</v>
      </c>
      <c r="H53" s="62">
        <f t="shared" si="10"/>
        <v>2.5062034739454093</v>
      </c>
      <c r="I53" s="103">
        <v>2029</v>
      </c>
      <c r="J53" s="38">
        <f t="shared" si="12"/>
        <v>-9</v>
      </c>
      <c r="K53" s="62">
        <f t="shared" si="13"/>
        <v>-0.44356826022671264</v>
      </c>
      <c r="L53" s="38">
        <f>E53/0.302</f>
        <v>6688.741721854305</v>
      </c>
      <c r="N53" s="2">
        <v>2020</v>
      </c>
    </row>
    <row r="54" spans="1:14" ht="13.5">
      <c r="A54" s="100"/>
      <c r="B54" s="100" t="s">
        <v>15</v>
      </c>
      <c r="C54" s="79"/>
      <c r="D54" s="37">
        <v>544</v>
      </c>
      <c r="E54" s="38">
        <f t="shared" si="11"/>
        <v>1295</v>
      </c>
      <c r="F54" s="38">
        <v>630</v>
      </c>
      <c r="G54" s="38">
        <v>665</v>
      </c>
      <c r="H54" s="62">
        <f t="shared" si="10"/>
        <v>2.380514705882353</v>
      </c>
      <c r="I54" s="103">
        <v>1277</v>
      </c>
      <c r="J54" s="38">
        <f t="shared" si="12"/>
        <v>18</v>
      </c>
      <c r="K54" s="62">
        <f t="shared" si="13"/>
        <v>1.4095536413469067</v>
      </c>
      <c r="L54" s="38">
        <f>E54/0.203</f>
        <v>6379.310344827586</v>
      </c>
      <c r="N54" s="2">
        <v>1295</v>
      </c>
    </row>
    <row r="55" spans="1:14" ht="13.5">
      <c r="A55" s="100"/>
      <c r="B55" s="100" t="s">
        <v>16</v>
      </c>
      <c r="C55" s="79"/>
      <c r="D55" s="37">
        <v>1164</v>
      </c>
      <c r="E55" s="38">
        <f t="shared" si="11"/>
        <v>2348</v>
      </c>
      <c r="F55" s="38">
        <v>1208</v>
      </c>
      <c r="G55" s="38">
        <v>1140</v>
      </c>
      <c r="H55" s="62">
        <f t="shared" si="10"/>
        <v>2.0171821305841924</v>
      </c>
      <c r="I55" s="103">
        <v>2315</v>
      </c>
      <c r="J55" s="38">
        <f t="shared" si="12"/>
        <v>33</v>
      </c>
      <c r="K55" s="62">
        <f t="shared" si="13"/>
        <v>1.42548596112311</v>
      </c>
      <c r="L55" s="38">
        <f>E55/0.184</f>
        <v>12760.869565217392</v>
      </c>
      <c r="N55" s="2">
        <v>2348</v>
      </c>
    </row>
    <row r="56" spans="1:14" ht="13.5">
      <c r="A56" s="100"/>
      <c r="B56" s="100" t="s">
        <v>17</v>
      </c>
      <c r="C56" s="79"/>
      <c r="D56" s="37">
        <v>1566</v>
      </c>
      <c r="E56" s="38">
        <f t="shared" si="11"/>
        <v>3465</v>
      </c>
      <c r="F56" s="38">
        <v>1681</v>
      </c>
      <c r="G56" s="38">
        <v>1784</v>
      </c>
      <c r="H56" s="62">
        <f t="shared" si="10"/>
        <v>2.2126436781609193</v>
      </c>
      <c r="I56" s="103">
        <v>3419</v>
      </c>
      <c r="J56" s="38">
        <f t="shared" si="12"/>
        <v>46</v>
      </c>
      <c r="K56" s="62">
        <f t="shared" si="13"/>
        <v>1.3454226381983034</v>
      </c>
      <c r="L56" s="38">
        <f>E56/0.231</f>
        <v>15000</v>
      </c>
      <c r="N56" s="2">
        <v>3465</v>
      </c>
    </row>
    <row r="57" spans="1:14" ht="13.5">
      <c r="A57" s="100"/>
      <c r="B57" s="100" t="s">
        <v>18</v>
      </c>
      <c r="C57" s="79"/>
      <c r="D57" s="37">
        <v>680</v>
      </c>
      <c r="E57" s="38">
        <f t="shared" si="11"/>
        <v>1509</v>
      </c>
      <c r="F57" s="38">
        <v>749</v>
      </c>
      <c r="G57" s="38">
        <v>760</v>
      </c>
      <c r="H57" s="62">
        <f t="shared" si="10"/>
        <v>2.2191176470588236</v>
      </c>
      <c r="I57" s="103">
        <v>1502</v>
      </c>
      <c r="J57" s="38">
        <f t="shared" si="12"/>
        <v>7</v>
      </c>
      <c r="K57" s="62">
        <f t="shared" si="13"/>
        <v>0.4660452729693742</v>
      </c>
      <c r="L57" s="38">
        <f>E57/0.152</f>
        <v>9927.631578947368</v>
      </c>
      <c r="N57" s="2">
        <v>1509</v>
      </c>
    </row>
    <row r="58" spans="1:12" ht="6" customHeight="1">
      <c r="A58" s="100"/>
      <c r="B58" s="100"/>
      <c r="C58" s="79"/>
      <c r="D58" s="37"/>
      <c r="E58" s="38"/>
      <c r="F58" s="38"/>
      <c r="G58" s="38"/>
      <c r="H58" s="62"/>
      <c r="I58" s="103"/>
      <c r="J58" s="38"/>
      <c r="K58" s="62"/>
      <c r="L58" s="38"/>
    </row>
    <row r="59" spans="1:14" ht="13.5">
      <c r="A59" s="277" t="s">
        <v>27</v>
      </c>
      <c r="B59" s="277"/>
      <c r="C59" s="118"/>
      <c r="D59" s="9">
        <f>SUM(D60:D63)</f>
        <v>5403</v>
      </c>
      <c r="E59" s="4">
        <f>SUM(E60:E63)</f>
        <v>12288</v>
      </c>
      <c r="F59" s="4">
        <f>SUM(F60:F63)</f>
        <v>5962</v>
      </c>
      <c r="G59" s="4">
        <f>SUM(G60:G63)</f>
        <v>6326</v>
      </c>
      <c r="H59" s="22">
        <f>E59/D59</f>
        <v>2.2742920599666854</v>
      </c>
      <c r="I59" s="19"/>
      <c r="J59" s="4">
        <f>SUM(J60:J63)</f>
        <v>58</v>
      </c>
      <c r="K59" s="22">
        <f>J59/(E59-J59)*100</f>
        <v>0.4742436631234669</v>
      </c>
      <c r="L59" s="4">
        <f>E59/1.147</f>
        <v>10713.164777680906</v>
      </c>
      <c r="N59" s="2">
        <v>12288</v>
      </c>
    </row>
    <row r="60" spans="1:14" ht="13.5">
      <c r="A60" s="100"/>
      <c r="B60" s="100" t="s">
        <v>13</v>
      </c>
      <c r="C60" s="79"/>
      <c r="D60" s="37">
        <v>2264</v>
      </c>
      <c r="E60" s="38">
        <f>SUM(F60:G60)</f>
        <v>5210</v>
      </c>
      <c r="F60" s="38">
        <v>2514</v>
      </c>
      <c r="G60" s="38">
        <v>2696</v>
      </c>
      <c r="H60" s="62">
        <f>E60/D60</f>
        <v>2.3012367491166077</v>
      </c>
      <c r="I60" s="103">
        <v>5227</v>
      </c>
      <c r="J60" s="38">
        <f>E60-I60</f>
        <v>-17</v>
      </c>
      <c r="K60" s="62">
        <f>J60/(E60-J60)*100</f>
        <v>-0.32523436005356804</v>
      </c>
      <c r="L60" s="38">
        <f>E60/0.331</f>
        <v>15740.181268882174</v>
      </c>
      <c r="N60" s="2">
        <v>5210</v>
      </c>
    </row>
    <row r="61" spans="1:14" ht="13.5">
      <c r="A61" s="100"/>
      <c r="B61" s="100" t="s">
        <v>14</v>
      </c>
      <c r="C61" s="79"/>
      <c r="D61" s="37">
        <v>779</v>
      </c>
      <c r="E61" s="38">
        <f>SUM(F61:G61)</f>
        <v>2067</v>
      </c>
      <c r="F61" s="38">
        <v>995</v>
      </c>
      <c r="G61" s="38">
        <v>1072</v>
      </c>
      <c r="H61" s="62">
        <f>E61/D61</f>
        <v>2.6534017971758663</v>
      </c>
      <c r="I61" s="103">
        <v>1964</v>
      </c>
      <c r="J61" s="38">
        <f>E61-I61</f>
        <v>103</v>
      </c>
      <c r="K61" s="62">
        <f>J61/(E61-J61)*100</f>
        <v>5.244399185336049</v>
      </c>
      <c r="L61" s="38">
        <f>E61/0.223</f>
        <v>9269.058295964125</v>
      </c>
      <c r="N61" s="2">
        <v>2067</v>
      </c>
    </row>
    <row r="62" spans="1:14" ht="13.5">
      <c r="A62" s="100"/>
      <c r="B62" s="100" t="s">
        <v>15</v>
      </c>
      <c r="C62" s="79"/>
      <c r="D62" s="37">
        <v>705</v>
      </c>
      <c r="E62" s="38">
        <f>SUM(F62:G62)</f>
        <v>1762</v>
      </c>
      <c r="F62" s="38">
        <v>882</v>
      </c>
      <c r="G62" s="38">
        <v>880</v>
      </c>
      <c r="H62" s="62">
        <f>E62/D62</f>
        <v>2.499290780141844</v>
      </c>
      <c r="I62" s="103">
        <v>1750</v>
      </c>
      <c r="J62" s="38">
        <f>E62-I62</f>
        <v>12</v>
      </c>
      <c r="K62" s="62">
        <f>J62/(E62-J62)*100</f>
        <v>0.6857142857142857</v>
      </c>
      <c r="L62" s="38">
        <f>E62/0.367</f>
        <v>4801.089918256131</v>
      </c>
      <c r="N62" s="2">
        <v>1762</v>
      </c>
    </row>
    <row r="63" spans="1:14" ht="13.5">
      <c r="A63" s="100"/>
      <c r="B63" s="100" t="s">
        <v>16</v>
      </c>
      <c r="C63" s="79"/>
      <c r="D63" s="37">
        <v>1655</v>
      </c>
      <c r="E63" s="38">
        <f>SUM(F63:G63)</f>
        <v>3249</v>
      </c>
      <c r="F63" s="38">
        <v>1571</v>
      </c>
      <c r="G63" s="38">
        <v>1678</v>
      </c>
      <c r="H63" s="62">
        <f>E63/D63</f>
        <v>1.963141993957704</v>
      </c>
      <c r="I63" s="103">
        <v>3289</v>
      </c>
      <c r="J63" s="38">
        <f>E63-I63</f>
        <v>-40</v>
      </c>
      <c r="K63" s="62">
        <f>J63/(E63-J63)*100</f>
        <v>-1.2161751292186074</v>
      </c>
      <c r="L63" s="38">
        <f>E63/0.226</f>
        <v>14376.106194690265</v>
      </c>
      <c r="N63" s="2">
        <v>3249</v>
      </c>
    </row>
    <row r="64" spans="1:12" ht="7.5" customHeight="1">
      <c r="A64" s="119"/>
      <c r="B64" s="119"/>
      <c r="C64" s="52"/>
      <c r="D64" s="107"/>
      <c r="E64" s="107"/>
      <c r="F64" s="107"/>
      <c r="G64" s="107"/>
      <c r="H64" s="101"/>
      <c r="I64" s="102"/>
      <c r="J64" s="107"/>
      <c r="K64" s="107"/>
      <c r="L64" s="43"/>
    </row>
    <row r="65" spans="1:12" s="206" customFormat="1" ht="13.5">
      <c r="A65" s="204" t="s">
        <v>265</v>
      </c>
      <c r="B65" s="205"/>
      <c r="C65" s="205"/>
      <c r="D65" s="205"/>
      <c r="E65" s="205"/>
      <c r="F65" s="205"/>
      <c r="G65" s="205"/>
      <c r="H65" s="205"/>
      <c r="I65" s="211"/>
      <c r="J65" s="205"/>
      <c r="K65" s="205"/>
      <c r="L65" s="212"/>
    </row>
    <row r="66" spans="1:11" s="206" customFormat="1" ht="13.5">
      <c r="A66" s="209" t="s">
        <v>334</v>
      </c>
      <c r="B66" s="207"/>
      <c r="C66" s="207"/>
      <c r="D66" s="207"/>
      <c r="E66" s="207"/>
      <c r="F66" s="207"/>
      <c r="G66" s="207"/>
      <c r="H66" s="207"/>
      <c r="I66" s="213"/>
      <c r="J66" s="207"/>
      <c r="K66" s="207"/>
    </row>
    <row r="67" spans="1:12" ht="13.5">
      <c r="A67" s="40"/>
      <c r="B67" s="40"/>
      <c r="C67" s="40"/>
      <c r="D67" s="40"/>
      <c r="E67" s="40"/>
      <c r="F67" s="40"/>
      <c r="G67" s="40"/>
      <c r="H67" s="40"/>
      <c r="I67" s="104"/>
      <c r="J67" s="40"/>
      <c r="K67" s="40"/>
      <c r="L67" s="40"/>
    </row>
  </sheetData>
  <mergeCells count="16">
    <mergeCell ref="A26:B26"/>
    <mergeCell ref="A51:B51"/>
    <mergeCell ref="A59:B59"/>
    <mergeCell ref="A34:B34"/>
    <mergeCell ref="A39:B39"/>
    <mergeCell ref="A44:B44"/>
    <mergeCell ref="A49:B49"/>
    <mergeCell ref="J4:K4"/>
    <mergeCell ref="A4:C5"/>
    <mergeCell ref="A18:B18"/>
    <mergeCell ref="A7:B7"/>
    <mergeCell ref="A9:B9"/>
    <mergeCell ref="A8:B8"/>
    <mergeCell ref="A6:B6"/>
    <mergeCell ref="D4:D5"/>
    <mergeCell ref="E4:G4"/>
  </mergeCells>
  <printOptions/>
  <pageMargins left="0.7874015748031497" right="0.7874015748031497" top="0.7" bottom="0.32" header="0.5118110236220472" footer="0.2"/>
  <pageSetup horizontalDpi="600" verticalDpi="600" orientation="portrait" paperSize="9" r:id="rId1"/>
  <headerFooter alignWithMargins="0">
    <oddHeader>&amp;L&amp;8 32　　　　人　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L60"/>
  <sheetViews>
    <sheetView workbookViewId="0" topLeftCell="A1">
      <selection activeCell="I1" sqref="I1:I16384"/>
    </sheetView>
  </sheetViews>
  <sheetFormatPr defaultColWidth="9.00390625" defaultRowHeight="13.5"/>
  <cols>
    <col min="1" max="1" width="3.75390625" style="2" customWidth="1"/>
    <col min="2" max="2" width="7.50390625" style="2" customWidth="1"/>
    <col min="3" max="3" width="1.4921875" style="2" customWidth="1"/>
    <col min="4" max="6" width="9.125" style="2" customWidth="1"/>
    <col min="7" max="8" width="8.75390625" style="2" customWidth="1"/>
    <col min="9" max="9" width="8.75390625" style="27" hidden="1" customWidth="1"/>
    <col min="10" max="10" width="9.125" style="2" bestFit="1" customWidth="1"/>
    <col min="11" max="11" width="9.50390625" style="2" bestFit="1" customWidth="1"/>
    <col min="12" max="12" width="9.125" style="2" customWidth="1"/>
    <col min="13" max="16384" width="9.00390625" style="2" customWidth="1"/>
  </cols>
  <sheetData>
    <row r="1" spans="1:11" ht="13.5" customHeight="1">
      <c r="A1" s="14"/>
      <c r="B1" s="14"/>
      <c r="C1" s="14"/>
      <c r="D1" s="14"/>
      <c r="E1" s="14"/>
      <c r="F1" s="14"/>
      <c r="G1" s="14"/>
      <c r="H1" s="14"/>
      <c r="I1" s="25" t="s">
        <v>259</v>
      </c>
      <c r="J1" s="14"/>
      <c r="K1" s="14"/>
    </row>
    <row r="2" spans="1:12" ht="23.25" customHeight="1">
      <c r="A2" s="20"/>
      <c r="B2" s="20"/>
      <c r="C2" s="20"/>
      <c r="D2" s="20"/>
      <c r="E2" s="20"/>
      <c r="F2" s="20"/>
      <c r="G2" s="20"/>
      <c r="H2" s="20"/>
      <c r="I2" s="28"/>
      <c r="J2" s="20"/>
      <c r="K2" s="20"/>
      <c r="L2" s="20"/>
    </row>
    <row r="3" spans="1:12" ht="14.25" customHeight="1">
      <c r="A3" s="21"/>
      <c r="B3" s="18"/>
      <c r="C3" s="18"/>
      <c r="D3" s="18"/>
      <c r="E3" s="18"/>
      <c r="F3" s="18"/>
      <c r="G3" s="18"/>
      <c r="H3" s="18"/>
      <c r="I3" s="29"/>
      <c r="J3" s="10"/>
      <c r="K3" s="10"/>
      <c r="L3" s="10"/>
    </row>
    <row r="4" spans="1:12" ht="13.5">
      <c r="A4" s="274"/>
      <c r="B4" s="273"/>
      <c r="C4" s="273"/>
      <c r="D4" s="273" t="s">
        <v>5</v>
      </c>
      <c r="E4" s="273" t="s">
        <v>7</v>
      </c>
      <c r="F4" s="273"/>
      <c r="G4" s="273"/>
      <c r="H4" s="111" t="s">
        <v>114</v>
      </c>
      <c r="I4" s="108" t="s">
        <v>258</v>
      </c>
      <c r="J4" s="273" t="s">
        <v>157</v>
      </c>
      <c r="K4" s="273"/>
      <c r="L4" s="113" t="s">
        <v>4</v>
      </c>
    </row>
    <row r="5" spans="1:12" ht="13.5">
      <c r="A5" s="275"/>
      <c r="B5" s="276"/>
      <c r="C5" s="276"/>
      <c r="D5" s="276"/>
      <c r="E5" s="109" t="s">
        <v>8</v>
      </c>
      <c r="F5" s="109" t="s">
        <v>9</v>
      </c>
      <c r="G5" s="109" t="s">
        <v>10</v>
      </c>
      <c r="H5" s="112" t="s">
        <v>2</v>
      </c>
      <c r="I5" s="110"/>
      <c r="J5" s="109" t="s">
        <v>35</v>
      </c>
      <c r="K5" s="109" t="s">
        <v>113</v>
      </c>
      <c r="L5" s="114" t="s">
        <v>186</v>
      </c>
    </row>
    <row r="6" spans="1:12" ht="6" customHeight="1">
      <c r="A6" s="279"/>
      <c r="B6" s="279"/>
      <c r="C6" s="115"/>
      <c r="D6" s="97"/>
      <c r="E6" s="53"/>
      <c r="F6" s="53"/>
      <c r="G6" s="53"/>
      <c r="H6" s="98"/>
      <c r="I6" s="99"/>
      <c r="J6" s="53"/>
      <c r="K6" s="53"/>
      <c r="L6" s="40"/>
    </row>
    <row r="7" spans="1:12" ht="13.5">
      <c r="A7" s="277" t="s">
        <v>28</v>
      </c>
      <c r="B7" s="277"/>
      <c r="C7" s="118"/>
      <c r="D7" s="9">
        <f>SUM(D8:D13)</f>
        <v>5905</v>
      </c>
      <c r="E7" s="9">
        <f>SUM(E8:E13)</f>
        <v>13181</v>
      </c>
      <c r="F7" s="9">
        <f>SUM(F8:F13)</f>
        <v>6592</v>
      </c>
      <c r="G7" s="9">
        <f>SUM(G8:G13)</f>
        <v>6589</v>
      </c>
      <c r="H7" s="22">
        <f aca="true" t="shared" si="0" ref="H7:H13">E7/D7</f>
        <v>2.2321761219305674</v>
      </c>
      <c r="I7" s="19"/>
      <c r="J7" s="4">
        <f>SUM(J8:J13)</f>
        <v>-26</v>
      </c>
      <c r="K7" s="22">
        <f aca="true" t="shared" si="1" ref="K7:K13">J7/(E7-J7)*100</f>
        <v>-0.1968652987052321</v>
      </c>
      <c r="L7" s="4">
        <f>E7/1.715</f>
        <v>7685.714285714285</v>
      </c>
    </row>
    <row r="8" spans="1:12" ht="13.5" customHeight="1">
      <c r="A8" s="100"/>
      <c r="B8" s="100" t="s">
        <v>13</v>
      </c>
      <c r="C8" s="79"/>
      <c r="D8" s="37">
        <v>457</v>
      </c>
      <c r="E8" s="38">
        <f aca="true" t="shared" si="2" ref="E8:E13">SUM(F8:G8)</f>
        <v>1060</v>
      </c>
      <c r="F8" s="38">
        <v>551</v>
      </c>
      <c r="G8" s="38">
        <v>509</v>
      </c>
      <c r="H8" s="62">
        <f t="shared" si="0"/>
        <v>2.3194748358862145</v>
      </c>
      <c r="I8" s="103">
        <v>1068</v>
      </c>
      <c r="J8" s="38">
        <f aca="true" t="shared" si="3" ref="J8:J13">E8-I8</f>
        <v>-8</v>
      </c>
      <c r="K8" s="62">
        <f t="shared" si="1"/>
        <v>-0.7490636704119851</v>
      </c>
      <c r="L8" s="38">
        <f>E8/0.201</f>
        <v>5273.63184079602</v>
      </c>
    </row>
    <row r="9" spans="1:12" ht="13.5">
      <c r="A9" s="100"/>
      <c r="B9" s="100" t="s">
        <v>14</v>
      </c>
      <c r="C9" s="79"/>
      <c r="D9" s="37">
        <v>1309</v>
      </c>
      <c r="E9" s="38">
        <f t="shared" si="2"/>
        <v>3012</v>
      </c>
      <c r="F9" s="38">
        <v>1473</v>
      </c>
      <c r="G9" s="38">
        <v>1539</v>
      </c>
      <c r="H9" s="62">
        <f t="shared" si="0"/>
        <v>2.3009931245225363</v>
      </c>
      <c r="I9" s="103">
        <v>3077</v>
      </c>
      <c r="J9" s="38">
        <f t="shared" si="3"/>
        <v>-65</v>
      </c>
      <c r="K9" s="62">
        <f t="shared" si="1"/>
        <v>-2.1124471888202794</v>
      </c>
      <c r="L9" s="38">
        <f>E9/0.261</f>
        <v>11540.229885057472</v>
      </c>
    </row>
    <row r="10" spans="1:12" ht="13.5">
      <c r="A10" s="100"/>
      <c r="B10" s="100" t="s">
        <v>15</v>
      </c>
      <c r="C10" s="79"/>
      <c r="D10" s="37">
        <v>555</v>
      </c>
      <c r="E10" s="38">
        <f t="shared" si="2"/>
        <v>1247</v>
      </c>
      <c r="F10" s="38">
        <v>634</v>
      </c>
      <c r="G10" s="38">
        <v>613</v>
      </c>
      <c r="H10" s="62">
        <f t="shared" si="0"/>
        <v>2.246846846846847</v>
      </c>
      <c r="I10" s="103">
        <v>1233</v>
      </c>
      <c r="J10" s="38">
        <f t="shared" si="3"/>
        <v>14</v>
      </c>
      <c r="K10" s="62">
        <f t="shared" si="1"/>
        <v>1.1354420113544201</v>
      </c>
      <c r="L10" s="38">
        <f>E10/0.152</f>
        <v>8203.947368421053</v>
      </c>
    </row>
    <row r="11" spans="1:12" ht="13.5">
      <c r="A11" s="100"/>
      <c r="B11" s="100" t="s">
        <v>16</v>
      </c>
      <c r="C11" s="79"/>
      <c r="D11" s="37">
        <v>1661</v>
      </c>
      <c r="E11" s="38">
        <f t="shared" si="2"/>
        <v>3482</v>
      </c>
      <c r="F11" s="38">
        <v>1753</v>
      </c>
      <c r="G11" s="38">
        <v>1729</v>
      </c>
      <c r="H11" s="62">
        <f t="shared" si="0"/>
        <v>2.0963275135460564</v>
      </c>
      <c r="I11" s="103">
        <v>3492</v>
      </c>
      <c r="J11" s="38">
        <f t="shared" si="3"/>
        <v>-10</v>
      </c>
      <c r="K11" s="62">
        <f t="shared" si="1"/>
        <v>-0.286368843069874</v>
      </c>
      <c r="L11" s="38">
        <f>E11/0.383</f>
        <v>9091.383812010443</v>
      </c>
    </row>
    <row r="12" spans="1:12" ht="13.5">
      <c r="A12" s="100"/>
      <c r="B12" s="100" t="s">
        <v>17</v>
      </c>
      <c r="C12" s="79"/>
      <c r="D12" s="37">
        <v>1359</v>
      </c>
      <c r="E12" s="38">
        <f t="shared" si="2"/>
        <v>3113</v>
      </c>
      <c r="F12" s="38">
        <v>1563</v>
      </c>
      <c r="G12" s="38">
        <v>1550</v>
      </c>
      <c r="H12" s="62">
        <f t="shared" si="0"/>
        <v>2.2906548933038997</v>
      </c>
      <c r="I12" s="103">
        <v>3064</v>
      </c>
      <c r="J12" s="38">
        <f t="shared" si="3"/>
        <v>49</v>
      </c>
      <c r="K12" s="62">
        <f t="shared" si="1"/>
        <v>1.5992167101827677</v>
      </c>
      <c r="L12" s="38">
        <f>E12/0.487</f>
        <v>6392.197125256674</v>
      </c>
    </row>
    <row r="13" spans="1:12" ht="13.5">
      <c r="A13" s="100"/>
      <c r="B13" s="100" t="s">
        <v>18</v>
      </c>
      <c r="C13" s="79"/>
      <c r="D13" s="37">
        <v>564</v>
      </c>
      <c r="E13" s="38">
        <f t="shared" si="2"/>
        <v>1267</v>
      </c>
      <c r="F13" s="38">
        <v>618</v>
      </c>
      <c r="G13" s="38">
        <v>649</v>
      </c>
      <c r="H13" s="62">
        <f t="shared" si="0"/>
        <v>2.24645390070922</v>
      </c>
      <c r="I13" s="103">
        <v>1273</v>
      </c>
      <c r="J13" s="38">
        <f t="shared" si="3"/>
        <v>-6</v>
      </c>
      <c r="K13" s="62">
        <f t="shared" si="1"/>
        <v>-0.4713275726630008</v>
      </c>
      <c r="L13" s="38">
        <f>E13/0.231</f>
        <v>5484.848484848485</v>
      </c>
    </row>
    <row r="14" spans="1:12" ht="6" customHeight="1">
      <c r="A14" s="100"/>
      <c r="B14" s="100"/>
      <c r="C14" s="79"/>
      <c r="D14" s="37"/>
      <c r="E14" s="38"/>
      <c r="F14" s="38"/>
      <c r="G14" s="38"/>
      <c r="H14" s="62"/>
      <c r="I14" s="103"/>
      <c r="J14" s="38"/>
      <c r="K14" s="62"/>
      <c r="L14" s="38"/>
    </row>
    <row r="15" spans="1:12" ht="13.5">
      <c r="A15" s="277" t="s">
        <v>29</v>
      </c>
      <c r="B15" s="277"/>
      <c r="C15" s="118"/>
      <c r="D15" s="9">
        <f>SUM(D16:D20)</f>
        <v>4080</v>
      </c>
      <c r="E15" s="4">
        <f>SUM(E16:E20)</f>
        <v>8842</v>
      </c>
      <c r="F15" s="4">
        <f>SUM(F16:F20)</f>
        <v>4263</v>
      </c>
      <c r="G15" s="4">
        <f>SUM(G16:G20)</f>
        <v>4579</v>
      </c>
      <c r="H15" s="22">
        <f aca="true" t="shared" si="4" ref="H15:H20">E15/D15</f>
        <v>2.167156862745098</v>
      </c>
      <c r="I15" s="19"/>
      <c r="J15" s="4">
        <f>SUM(J16:J20)</f>
        <v>376</v>
      </c>
      <c r="K15" s="22">
        <f aca="true" t="shared" si="5" ref="K15:K20">J15/(E15-J15)*100</f>
        <v>4.4412945901252066</v>
      </c>
      <c r="L15" s="4">
        <f>E15/1.154</f>
        <v>7662.045060658579</v>
      </c>
    </row>
    <row r="16" spans="1:12" ht="13.5">
      <c r="A16" s="100"/>
      <c r="B16" s="100" t="s">
        <v>13</v>
      </c>
      <c r="C16" s="79"/>
      <c r="D16" s="37">
        <v>938</v>
      </c>
      <c r="E16" s="38">
        <f>SUM(F16:G16)</f>
        <v>2091</v>
      </c>
      <c r="F16" s="38">
        <v>995</v>
      </c>
      <c r="G16" s="38">
        <v>1096</v>
      </c>
      <c r="H16" s="62">
        <f t="shared" si="4"/>
        <v>2.2292110874200426</v>
      </c>
      <c r="I16" s="103">
        <v>2150</v>
      </c>
      <c r="J16" s="38">
        <f>E16-I16</f>
        <v>-59</v>
      </c>
      <c r="K16" s="62">
        <f t="shared" si="5"/>
        <v>-2.744186046511628</v>
      </c>
      <c r="L16" s="38">
        <f>E16/0.209</f>
        <v>10004.784688995216</v>
      </c>
    </row>
    <row r="17" spans="1:12" ht="13.5" customHeight="1">
      <c r="A17" s="100"/>
      <c r="B17" s="100" t="s">
        <v>14</v>
      </c>
      <c r="C17" s="79"/>
      <c r="D17" s="37">
        <v>357</v>
      </c>
      <c r="E17" s="38">
        <f>SUM(F17:G17)</f>
        <v>900</v>
      </c>
      <c r="F17" s="38">
        <v>448</v>
      </c>
      <c r="G17" s="38">
        <v>452</v>
      </c>
      <c r="H17" s="62">
        <f t="shared" si="4"/>
        <v>2.5210084033613445</v>
      </c>
      <c r="I17" s="103">
        <v>932</v>
      </c>
      <c r="J17" s="38">
        <f>E17-I17</f>
        <v>-32</v>
      </c>
      <c r="K17" s="62">
        <f t="shared" si="5"/>
        <v>-3.4334763948497855</v>
      </c>
      <c r="L17" s="38">
        <f>E17/0.184</f>
        <v>4891.304347826087</v>
      </c>
    </row>
    <row r="18" spans="1:12" ht="13.5">
      <c r="A18" s="100"/>
      <c r="B18" s="100" t="s">
        <v>15</v>
      </c>
      <c r="C18" s="79"/>
      <c r="D18" s="37">
        <v>685</v>
      </c>
      <c r="E18" s="38">
        <f>SUM(F18:G18)</f>
        <v>1458</v>
      </c>
      <c r="F18" s="38">
        <v>759</v>
      </c>
      <c r="G18" s="38">
        <v>699</v>
      </c>
      <c r="H18" s="62">
        <f t="shared" si="4"/>
        <v>2.1284671532846717</v>
      </c>
      <c r="I18" s="103">
        <v>1432</v>
      </c>
      <c r="J18" s="38">
        <f>E18-I18</f>
        <v>26</v>
      </c>
      <c r="K18" s="62">
        <f t="shared" si="5"/>
        <v>1.8156424581005588</v>
      </c>
      <c r="L18" s="38">
        <f>E18/0.185</f>
        <v>7881.081081081081</v>
      </c>
    </row>
    <row r="19" spans="1:12" ht="13.5">
      <c r="A19" s="100"/>
      <c r="B19" s="100" t="s">
        <v>16</v>
      </c>
      <c r="C19" s="79"/>
      <c r="D19" s="37">
        <v>1803</v>
      </c>
      <c r="E19" s="38">
        <f>SUM(F19:G19)</f>
        <v>3839</v>
      </c>
      <c r="F19" s="38">
        <v>1854</v>
      </c>
      <c r="G19" s="38">
        <v>1985</v>
      </c>
      <c r="H19" s="62">
        <f t="shared" si="4"/>
        <v>2.129229062673322</v>
      </c>
      <c r="I19" s="103">
        <v>3833</v>
      </c>
      <c r="J19" s="38">
        <f>E19-I19</f>
        <v>6</v>
      </c>
      <c r="K19" s="62">
        <f t="shared" si="5"/>
        <v>0.15653535090007828</v>
      </c>
      <c r="L19" s="38">
        <f>E19/0.434</f>
        <v>8845.622119815669</v>
      </c>
    </row>
    <row r="20" spans="1:12" ht="13.5">
      <c r="A20" s="100"/>
      <c r="B20" s="100" t="s">
        <v>17</v>
      </c>
      <c r="C20" s="79"/>
      <c r="D20" s="37">
        <v>297</v>
      </c>
      <c r="E20" s="38">
        <f>SUM(F20:G20)</f>
        <v>554</v>
      </c>
      <c r="F20" s="38">
        <v>207</v>
      </c>
      <c r="G20" s="38">
        <v>347</v>
      </c>
      <c r="H20" s="62">
        <f t="shared" si="4"/>
        <v>1.8653198653198653</v>
      </c>
      <c r="I20" s="103">
        <v>119</v>
      </c>
      <c r="J20" s="38">
        <f>E20-I20</f>
        <v>435</v>
      </c>
      <c r="K20" s="62">
        <f t="shared" si="5"/>
        <v>365.5462184873949</v>
      </c>
      <c r="L20" s="38">
        <f>E20/0.142</f>
        <v>3901.4084507042257</v>
      </c>
    </row>
    <row r="21" spans="1:12" ht="6" customHeight="1">
      <c r="A21" s="100"/>
      <c r="B21" s="100"/>
      <c r="C21" s="79"/>
      <c r="D21" s="37"/>
      <c r="E21" s="38"/>
      <c r="F21" s="38"/>
      <c r="G21" s="38"/>
      <c r="H21" s="62"/>
      <c r="I21" s="103"/>
      <c r="J21" s="38"/>
      <c r="K21" s="62"/>
      <c r="L21" s="38"/>
    </row>
    <row r="22" spans="1:12" ht="13.5" customHeight="1">
      <c r="A22" s="277" t="s">
        <v>116</v>
      </c>
      <c r="B22" s="277"/>
      <c r="C22" s="118"/>
      <c r="D22" s="9">
        <v>393</v>
      </c>
      <c r="E22" s="4">
        <f>SUM(F22:G22)</f>
        <v>1129</v>
      </c>
      <c r="F22" s="4">
        <v>547</v>
      </c>
      <c r="G22" s="4">
        <v>582</v>
      </c>
      <c r="H22" s="22">
        <f>E22/D22</f>
        <v>2.872773536895674</v>
      </c>
      <c r="I22" s="19">
        <v>1108</v>
      </c>
      <c r="J22" s="4">
        <f>E22-I22</f>
        <v>21</v>
      </c>
      <c r="K22" s="22">
        <f>J22/(E22-J22)*100</f>
        <v>1.895306859205776</v>
      </c>
      <c r="L22" s="4">
        <f>E22/2.26</f>
        <v>499.5575221238939</v>
      </c>
    </row>
    <row r="23" spans="1:12" ht="6" customHeight="1">
      <c r="A23" s="100"/>
      <c r="B23" s="100"/>
      <c r="C23" s="79"/>
      <c r="D23" s="37"/>
      <c r="E23" s="38"/>
      <c r="F23" s="38"/>
      <c r="G23" s="38"/>
      <c r="H23" s="62"/>
      <c r="I23" s="103"/>
      <c r="J23" s="38"/>
      <c r="K23" s="62"/>
      <c r="L23" s="38"/>
    </row>
    <row r="24" spans="1:12" ht="13.5">
      <c r="A24" s="277" t="s">
        <v>30</v>
      </c>
      <c r="B24" s="277"/>
      <c r="C24" s="118"/>
      <c r="D24" s="9">
        <f>SUM(D25:D32)</f>
        <v>6379</v>
      </c>
      <c r="E24" s="4">
        <f>SUM(E25:E32)</f>
        <v>15638</v>
      </c>
      <c r="F24" s="4">
        <f>SUM(F25:F32)</f>
        <v>7961</v>
      </c>
      <c r="G24" s="4">
        <f>SUM(G25:G32)</f>
        <v>7677</v>
      </c>
      <c r="H24" s="22">
        <f aca="true" t="shared" si="6" ref="H24:H32">E24/D24</f>
        <v>2.451481423420599</v>
      </c>
      <c r="I24" s="19"/>
      <c r="J24" s="4">
        <f>SUM(J25:J32)</f>
        <v>137</v>
      </c>
      <c r="K24" s="22">
        <f aca="true" t="shared" si="7" ref="K24:K32">J24/(E24-J24)*100</f>
        <v>0.8838139474872589</v>
      </c>
      <c r="L24" s="4">
        <f>E24/2.08</f>
        <v>7518.2692307692305</v>
      </c>
    </row>
    <row r="25" spans="1:12" ht="13.5">
      <c r="A25" s="100"/>
      <c r="B25" s="100" t="s">
        <v>13</v>
      </c>
      <c r="C25" s="79"/>
      <c r="D25" s="37">
        <v>409</v>
      </c>
      <c r="E25" s="38">
        <f aca="true" t="shared" si="8" ref="E25:E32">SUM(F25:G25)</f>
        <v>1035</v>
      </c>
      <c r="F25" s="38">
        <v>528</v>
      </c>
      <c r="G25" s="38">
        <v>507</v>
      </c>
      <c r="H25" s="62">
        <f t="shared" si="6"/>
        <v>2.530562347188264</v>
      </c>
      <c r="I25" s="103">
        <v>1056</v>
      </c>
      <c r="J25" s="38">
        <f aca="true" t="shared" si="9" ref="J25:J32">E25-I25</f>
        <v>-21</v>
      </c>
      <c r="K25" s="62">
        <f t="shared" si="7"/>
        <v>-1.9886363636363635</v>
      </c>
      <c r="L25" s="38">
        <f>E25/0.258</f>
        <v>4011.6279069767443</v>
      </c>
    </row>
    <row r="26" spans="1:12" ht="13.5">
      <c r="A26" s="100"/>
      <c r="B26" s="100" t="s">
        <v>14</v>
      </c>
      <c r="C26" s="79"/>
      <c r="D26" s="37">
        <v>682</v>
      </c>
      <c r="E26" s="38">
        <f t="shared" si="8"/>
        <v>1823</v>
      </c>
      <c r="F26" s="38">
        <v>903</v>
      </c>
      <c r="G26" s="38">
        <v>920</v>
      </c>
      <c r="H26" s="62">
        <f t="shared" si="6"/>
        <v>2.6730205278592374</v>
      </c>
      <c r="I26" s="103">
        <v>1801</v>
      </c>
      <c r="J26" s="38">
        <f t="shared" si="9"/>
        <v>22</v>
      </c>
      <c r="K26" s="62">
        <f t="shared" si="7"/>
        <v>1.2215435868961688</v>
      </c>
      <c r="L26" s="38">
        <f>E26/0.333</f>
        <v>5474.474474474474</v>
      </c>
    </row>
    <row r="27" spans="1:12" ht="13.5" customHeight="1">
      <c r="A27" s="100"/>
      <c r="B27" s="100" t="s">
        <v>15</v>
      </c>
      <c r="C27" s="79"/>
      <c r="D27" s="37">
        <v>512</v>
      </c>
      <c r="E27" s="38">
        <f t="shared" si="8"/>
        <v>1216</v>
      </c>
      <c r="F27" s="38">
        <v>638</v>
      </c>
      <c r="G27" s="38">
        <v>578</v>
      </c>
      <c r="H27" s="62">
        <f t="shared" si="6"/>
        <v>2.375</v>
      </c>
      <c r="I27" s="103">
        <v>1206</v>
      </c>
      <c r="J27" s="38">
        <f t="shared" si="9"/>
        <v>10</v>
      </c>
      <c r="K27" s="62">
        <f t="shared" si="7"/>
        <v>0.8291873963515755</v>
      </c>
      <c r="L27" s="38">
        <f>E27/0.228</f>
        <v>5333.333333333333</v>
      </c>
    </row>
    <row r="28" spans="1:12" ht="13.5">
      <c r="A28" s="100"/>
      <c r="B28" s="100" t="s">
        <v>16</v>
      </c>
      <c r="C28" s="79"/>
      <c r="D28" s="37">
        <v>941</v>
      </c>
      <c r="E28" s="38">
        <f t="shared" si="8"/>
        <v>2392</v>
      </c>
      <c r="F28" s="38">
        <v>1232</v>
      </c>
      <c r="G28" s="38">
        <v>1160</v>
      </c>
      <c r="H28" s="62">
        <f t="shared" si="6"/>
        <v>2.5419766206163654</v>
      </c>
      <c r="I28" s="103">
        <v>2364</v>
      </c>
      <c r="J28" s="38">
        <f t="shared" si="9"/>
        <v>28</v>
      </c>
      <c r="K28" s="62">
        <f t="shared" si="7"/>
        <v>1.1844331641285957</v>
      </c>
      <c r="L28" s="38">
        <f>E28/0.269</f>
        <v>8892.193308550186</v>
      </c>
    </row>
    <row r="29" spans="1:12" ht="13.5">
      <c r="A29" s="100"/>
      <c r="B29" s="100" t="s">
        <v>17</v>
      </c>
      <c r="C29" s="79"/>
      <c r="D29" s="37">
        <v>336</v>
      </c>
      <c r="E29" s="38">
        <f t="shared" si="8"/>
        <v>763</v>
      </c>
      <c r="F29" s="38">
        <v>385</v>
      </c>
      <c r="G29" s="38">
        <v>378</v>
      </c>
      <c r="H29" s="62">
        <f t="shared" si="6"/>
        <v>2.2708333333333335</v>
      </c>
      <c r="I29" s="103">
        <v>736</v>
      </c>
      <c r="J29" s="38">
        <f t="shared" si="9"/>
        <v>27</v>
      </c>
      <c r="K29" s="62">
        <f t="shared" si="7"/>
        <v>3.6684782608695654</v>
      </c>
      <c r="L29" s="38">
        <f>E29/0.201</f>
        <v>3796.019900497512</v>
      </c>
    </row>
    <row r="30" spans="1:12" ht="13.5">
      <c r="A30" s="100"/>
      <c r="B30" s="100" t="s">
        <v>18</v>
      </c>
      <c r="C30" s="79"/>
      <c r="D30" s="37">
        <v>759</v>
      </c>
      <c r="E30" s="38">
        <f t="shared" si="8"/>
        <v>1820</v>
      </c>
      <c r="F30" s="38">
        <v>907</v>
      </c>
      <c r="G30" s="38">
        <v>913</v>
      </c>
      <c r="H30" s="62">
        <f t="shared" si="6"/>
        <v>2.3978919631093545</v>
      </c>
      <c r="I30" s="103">
        <v>1799</v>
      </c>
      <c r="J30" s="38">
        <f t="shared" si="9"/>
        <v>21</v>
      </c>
      <c r="K30" s="62">
        <f t="shared" si="7"/>
        <v>1.1673151750972763</v>
      </c>
      <c r="L30" s="38">
        <f>E30/0.225</f>
        <v>8088.888888888889</v>
      </c>
    </row>
    <row r="31" spans="1:12" ht="13.5">
      <c r="A31" s="100"/>
      <c r="B31" s="100" t="s">
        <v>19</v>
      </c>
      <c r="C31" s="79"/>
      <c r="D31" s="37">
        <v>1123</v>
      </c>
      <c r="E31" s="38">
        <f t="shared" si="8"/>
        <v>2719</v>
      </c>
      <c r="F31" s="38">
        <v>1377</v>
      </c>
      <c r="G31" s="38">
        <v>1342</v>
      </c>
      <c r="H31" s="62">
        <f t="shared" si="6"/>
        <v>2.421193232413179</v>
      </c>
      <c r="I31" s="103">
        <v>2723</v>
      </c>
      <c r="J31" s="38">
        <f t="shared" si="9"/>
        <v>-4</v>
      </c>
      <c r="K31" s="62">
        <f t="shared" si="7"/>
        <v>-0.14689680499449137</v>
      </c>
      <c r="L31" s="38">
        <f>E31/0.228</f>
        <v>11925.438596491227</v>
      </c>
    </row>
    <row r="32" spans="1:12" ht="13.5">
      <c r="A32" s="100"/>
      <c r="B32" s="100" t="s">
        <v>31</v>
      </c>
      <c r="C32" s="79"/>
      <c r="D32" s="37">
        <v>1617</v>
      </c>
      <c r="E32" s="38">
        <f t="shared" si="8"/>
        <v>3870</v>
      </c>
      <c r="F32" s="38">
        <v>1991</v>
      </c>
      <c r="G32" s="38">
        <v>1879</v>
      </c>
      <c r="H32" s="62">
        <f t="shared" si="6"/>
        <v>2.3933209647495364</v>
      </c>
      <c r="I32" s="103">
        <v>3816</v>
      </c>
      <c r="J32" s="38">
        <f t="shared" si="9"/>
        <v>54</v>
      </c>
      <c r="K32" s="62">
        <f t="shared" si="7"/>
        <v>1.4150943396226416</v>
      </c>
      <c r="L32" s="38">
        <f>E32/0.338</f>
        <v>11449.704142011833</v>
      </c>
    </row>
    <row r="33" spans="1:12" ht="6" customHeight="1">
      <c r="A33" s="100"/>
      <c r="B33" s="100"/>
      <c r="C33" s="79"/>
      <c r="D33" s="37"/>
      <c r="E33" s="38"/>
      <c r="F33" s="38"/>
      <c r="G33" s="38"/>
      <c r="H33" s="62"/>
      <c r="I33" s="103"/>
      <c r="J33" s="38"/>
      <c r="K33" s="62"/>
      <c r="L33" s="38"/>
    </row>
    <row r="34" spans="1:12" ht="13.5">
      <c r="A34" s="277" t="s">
        <v>32</v>
      </c>
      <c r="B34" s="277"/>
      <c r="C34" s="118"/>
      <c r="D34" s="9">
        <f>SUM(D35:D41)</f>
        <v>4486</v>
      </c>
      <c r="E34" s="9">
        <f>SUM(E35:E41)</f>
        <v>10585</v>
      </c>
      <c r="F34" s="9">
        <f>SUM(F35:F41)</f>
        <v>5135</v>
      </c>
      <c r="G34" s="9">
        <f>SUM(G35:G41)</f>
        <v>5450</v>
      </c>
      <c r="H34" s="22">
        <f aca="true" t="shared" si="10" ref="H34:H39">E34/D34</f>
        <v>2.359563085153812</v>
      </c>
      <c r="I34" s="19"/>
      <c r="J34" s="4">
        <f>SUM(J35:J40)</f>
        <v>105</v>
      </c>
      <c r="K34" s="22">
        <f aca="true" t="shared" si="11" ref="K34:K39">J34/(E34-J34)*100</f>
        <v>1.0019083969465647</v>
      </c>
      <c r="L34" s="4">
        <f>E34/1.82</f>
        <v>5815.934065934066</v>
      </c>
    </row>
    <row r="35" spans="1:12" ht="13.5" customHeight="1">
      <c r="A35" s="100"/>
      <c r="B35" s="100" t="s">
        <v>13</v>
      </c>
      <c r="C35" s="79"/>
      <c r="D35" s="37">
        <v>1401</v>
      </c>
      <c r="E35" s="38">
        <f>SUM(F35:G35)</f>
        <v>3246</v>
      </c>
      <c r="F35" s="38">
        <v>1427</v>
      </c>
      <c r="G35" s="38">
        <v>1819</v>
      </c>
      <c r="H35" s="62">
        <f t="shared" si="10"/>
        <v>2.3169164882226982</v>
      </c>
      <c r="I35" s="103">
        <v>3252</v>
      </c>
      <c r="J35" s="38">
        <f>E35-I35</f>
        <v>-6</v>
      </c>
      <c r="K35" s="62">
        <f t="shared" si="11"/>
        <v>-0.18450184501845018</v>
      </c>
      <c r="L35" s="38">
        <f>E35/0.253</f>
        <v>12830.0395256917</v>
      </c>
    </row>
    <row r="36" spans="1:12" ht="13.5">
      <c r="A36" s="100"/>
      <c r="B36" s="100" t="s">
        <v>14</v>
      </c>
      <c r="C36" s="79"/>
      <c r="D36" s="37">
        <v>313</v>
      </c>
      <c r="E36" s="38">
        <f>SUM(F36:G36)</f>
        <v>782</v>
      </c>
      <c r="F36" s="38">
        <v>400</v>
      </c>
      <c r="G36" s="38">
        <v>382</v>
      </c>
      <c r="H36" s="62">
        <f t="shared" si="10"/>
        <v>2.498402555910543</v>
      </c>
      <c r="I36" s="103">
        <v>756</v>
      </c>
      <c r="J36" s="38">
        <f>E36-I36</f>
        <v>26</v>
      </c>
      <c r="K36" s="62">
        <f t="shared" si="11"/>
        <v>3.439153439153439</v>
      </c>
      <c r="L36" s="38">
        <f>E36/0.188</f>
        <v>4159.574468085107</v>
      </c>
    </row>
    <row r="37" spans="1:12" ht="13.5">
      <c r="A37" s="100"/>
      <c r="B37" s="100" t="s">
        <v>15</v>
      </c>
      <c r="C37" s="79"/>
      <c r="D37" s="37">
        <v>573</v>
      </c>
      <c r="E37" s="38">
        <f>SUM(F37:G37)</f>
        <v>1444</v>
      </c>
      <c r="F37" s="38">
        <v>747</v>
      </c>
      <c r="G37" s="38">
        <v>697</v>
      </c>
      <c r="H37" s="62">
        <f t="shared" si="10"/>
        <v>2.520069808027923</v>
      </c>
      <c r="I37" s="103">
        <v>1422</v>
      </c>
      <c r="J37" s="38">
        <f>E37-I37</f>
        <v>22</v>
      </c>
      <c r="K37" s="62">
        <f t="shared" si="11"/>
        <v>1.5471167369901548</v>
      </c>
      <c r="L37" s="38">
        <f>E37/0.283</f>
        <v>5102.473498233216</v>
      </c>
    </row>
    <row r="38" spans="1:12" ht="13.5">
      <c r="A38" s="100"/>
      <c r="B38" s="100" t="s">
        <v>16</v>
      </c>
      <c r="C38" s="79"/>
      <c r="D38" s="37">
        <v>333</v>
      </c>
      <c r="E38" s="38">
        <f>SUM(F38:G38)</f>
        <v>814</v>
      </c>
      <c r="F38" s="38">
        <v>408</v>
      </c>
      <c r="G38" s="38">
        <v>406</v>
      </c>
      <c r="H38" s="62">
        <f t="shared" si="10"/>
        <v>2.4444444444444446</v>
      </c>
      <c r="I38" s="103">
        <v>807</v>
      </c>
      <c r="J38" s="38">
        <f>E38-I38</f>
        <v>7</v>
      </c>
      <c r="K38" s="62">
        <f t="shared" si="11"/>
        <v>0.8674101610904585</v>
      </c>
      <c r="L38" s="38">
        <f>E38/0.23</f>
        <v>3539.1304347826085</v>
      </c>
    </row>
    <row r="39" spans="1:12" ht="13.5">
      <c r="A39" s="100"/>
      <c r="B39" s="100" t="s">
        <v>17</v>
      </c>
      <c r="C39" s="79"/>
      <c r="D39" s="37">
        <v>1866</v>
      </c>
      <c r="E39" s="38">
        <f>SUM(F39:G39)</f>
        <v>4299</v>
      </c>
      <c r="F39" s="38">
        <v>2153</v>
      </c>
      <c r="G39" s="38">
        <v>2146</v>
      </c>
      <c r="H39" s="62">
        <f t="shared" si="10"/>
        <v>2.3038585209003215</v>
      </c>
      <c r="I39" s="103">
        <v>4243</v>
      </c>
      <c r="J39" s="38">
        <f>E39-I39</f>
        <v>56</v>
      </c>
      <c r="K39" s="62">
        <f t="shared" si="11"/>
        <v>1.3198208814518029</v>
      </c>
      <c r="L39" s="38">
        <f>E39/0.378</f>
        <v>11373.015873015873</v>
      </c>
    </row>
    <row r="40" spans="1:12" ht="13.5" customHeight="1">
      <c r="A40" s="100"/>
      <c r="B40" s="100" t="s">
        <v>18</v>
      </c>
      <c r="C40" s="79"/>
      <c r="D40" s="37" t="s">
        <v>287</v>
      </c>
      <c r="E40" s="38" t="s">
        <v>287</v>
      </c>
      <c r="F40" s="38" t="s">
        <v>287</v>
      </c>
      <c r="G40" s="38" t="s">
        <v>287</v>
      </c>
      <c r="H40" s="38" t="s">
        <v>287</v>
      </c>
      <c r="I40" s="103"/>
      <c r="J40" s="38" t="s">
        <v>287</v>
      </c>
      <c r="K40" s="38" t="s">
        <v>287</v>
      </c>
      <c r="L40" s="38" t="s">
        <v>287</v>
      </c>
    </row>
    <row r="41" spans="1:12" ht="13.5">
      <c r="A41" s="100"/>
      <c r="B41" s="100" t="s">
        <v>19</v>
      </c>
      <c r="C41" s="79"/>
      <c r="D41" s="37" t="s">
        <v>287</v>
      </c>
      <c r="E41" s="38" t="s">
        <v>287</v>
      </c>
      <c r="F41" s="38" t="s">
        <v>287</v>
      </c>
      <c r="G41" s="38" t="s">
        <v>287</v>
      </c>
      <c r="H41" s="38" t="s">
        <v>287</v>
      </c>
      <c r="I41" s="103"/>
      <c r="J41" s="38" t="s">
        <v>287</v>
      </c>
      <c r="K41" s="38" t="s">
        <v>287</v>
      </c>
      <c r="L41" s="38" t="s">
        <v>287</v>
      </c>
    </row>
    <row r="42" spans="1:12" ht="6" customHeight="1">
      <c r="A42" s="100"/>
      <c r="B42" s="100"/>
      <c r="C42" s="79"/>
      <c r="D42" s="37"/>
      <c r="E42" s="38"/>
      <c r="F42" s="38"/>
      <c r="G42" s="38"/>
      <c r="H42" s="62"/>
      <c r="I42" s="103"/>
      <c r="J42" s="38"/>
      <c r="K42" s="62"/>
      <c r="L42" s="38"/>
    </row>
    <row r="43" spans="1:12" ht="13.5">
      <c r="A43" s="277" t="s">
        <v>33</v>
      </c>
      <c r="B43" s="277"/>
      <c r="C43" s="118"/>
      <c r="D43" s="9">
        <f>SUM(D44:D49)</f>
        <v>5726</v>
      </c>
      <c r="E43" s="4">
        <f>SUM(E44:E49)</f>
        <v>13419</v>
      </c>
      <c r="F43" s="4">
        <f>SUM(F44:F49)</f>
        <v>6777</v>
      </c>
      <c r="G43" s="4">
        <f>SUM(G44:G49)</f>
        <v>6642</v>
      </c>
      <c r="H43" s="22">
        <f aca="true" t="shared" si="12" ref="H43:H49">E43/D43</f>
        <v>2.343520782396088</v>
      </c>
      <c r="I43" s="19"/>
      <c r="J43" s="4">
        <f>SUM(J44:J49)</f>
        <v>38</v>
      </c>
      <c r="K43" s="22">
        <f aca="true" t="shared" si="13" ref="K43:K49">J43/(E43-J43)*100</f>
        <v>0.28398475450265304</v>
      </c>
      <c r="L43" s="4">
        <f>E43/1.465</f>
        <v>9159.726962457338</v>
      </c>
    </row>
    <row r="44" spans="1:12" ht="13.5">
      <c r="A44" s="100"/>
      <c r="B44" s="100" t="s">
        <v>13</v>
      </c>
      <c r="C44" s="79"/>
      <c r="D44" s="37">
        <v>1011</v>
      </c>
      <c r="E44" s="38">
        <f aca="true" t="shared" si="14" ref="E44:E49">SUM(F44:G44)</f>
        <v>2424</v>
      </c>
      <c r="F44" s="38">
        <v>1290</v>
      </c>
      <c r="G44" s="38">
        <v>1134</v>
      </c>
      <c r="H44" s="62">
        <f t="shared" si="12"/>
        <v>2.397626112759644</v>
      </c>
      <c r="I44" s="103">
        <v>2413</v>
      </c>
      <c r="J44" s="38">
        <f aca="true" t="shared" si="15" ref="J44:J49">E44-I44</f>
        <v>11</v>
      </c>
      <c r="K44" s="62">
        <f t="shared" si="13"/>
        <v>0.45586406962287607</v>
      </c>
      <c r="L44" s="38">
        <f>E44/0.27</f>
        <v>8977.777777777777</v>
      </c>
    </row>
    <row r="45" spans="1:12" ht="13.5" customHeight="1">
      <c r="A45" s="100"/>
      <c r="B45" s="100" t="s">
        <v>14</v>
      </c>
      <c r="C45" s="79"/>
      <c r="D45" s="37">
        <v>782</v>
      </c>
      <c r="E45" s="38">
        <f t="shared" si="14"/>
        <v>1872</v>
      </c>
      <c r="F45" s="38">
        <v>955</v>
      </c>
      <c r="G45" s="38">
        <v>917</v>
      </c>
      <c r="H45" s="62">
        <f t="shared" si="12"/>
        <v>2.39386189258312</v>
      </c>
      <c r="I45" s="103">
        <v>1877</v>
      </c>
      <c r="J45" s="38">
        <f t="shared" si="15"/>
        <v>-5</v>
      </c>
      <c r="K45" s="62">
        <f t="shared" si="13"/>
        <v>-0.26638252530633993</v>
      </c>
      <c r="L45" s="38">
        <f>E45/0.285</f>
        <v>6568.421052631579</v>
      </c>
    </row>
    <row r="46" spans="1:12" ht="13.5">
      <c r="A46" s="100"/>
      <c r="B46" s="100" t="s">
        <v>15</v>
      </c>
      <c r="C46" s="79"/>
      <c r="D46" s="37">
        <v>348</v>
      </c>
      <c r="E46" s="38">
        <f t="shared" si="14"/>
        <v>878</v>
      </c>
      <c r="F46" s="38">
        <v>438</v>
      </c>
      <c r="G46" s="38">
        <v>440</v>
      </c>
      <c r="H46" s="62">
        <f t="shared" si="12"/>
        <v>2.5229885057471266</v>
      </c>
      <c r="I46" s="103">
        <v>841</v>
      </c>
      <c r="J46" s="38">
        <f t="shared" si="15"/>
        <v>37</v>
      </c>
      <c r="K46" s="62">
        <f t="shared" si="13"/>
        <v>4.399524375743162</v>
      </c>
      <c r="L46" s="38">
        <f>E46/0.171</f>
        <v>5134.502923976608</v>
      </c>
    </row>
    <row r="47" spans="1:12" ht="13.5">
      <c r="A47" s="100"/>
      <c r="B47" s="100" t="s">
        <v>16</v>
      </c>
      <c r="C47" s="79"/>
      <c r="D47" s="37">
        <v>868</v>
      </c>
      <c r="E47" s="38">
        <f t="shared" si="14"/>
        <v>2008</v>
      </c>
      <c r="F47" s="38">
        <v>1038</v>
      </c>
      <c r="G47" s="38">
        <v>970</v>
      </c>
      <c r="H47" s="62">
        <f t="shared" si="12"/>
        <v>2.313364055299539</v>
      </c>
      <c r="I47" s="103">
        <v>1920</v>
      </c>
      <c r="J47" s="38">
        <f t="shared" si="15"/>
        <v>88</v>
      </c>
      <c r="K47" s="62">
        <f t="shared" si="13"/>
        <v>4.583333333333333</v>
      </c>
      <c r="L47" s="38">
        <f>E47/0.328</f>
        <v>6121.951219512195</v>
      </c>
    </row>
    <row r="48" spans="1:12" ht="13.5">
      <c r="A48" s="100"/>
      <c r="B48" s="100" t="s">
        <v>17</v>
      </c>
      <c r="C48" s="79"/>
      <c r="D48" s="37">
        <v>1394</v>
      </c>
      <c r="E48" s="38">
        <f t="shared" si="14"/>
        <v>2716</v>
      </c>
      <c r="F48" s="38">
        <v>1301</v>
      </c>
      <c r="G48" s="38">
        <v>1415</v>
      </c>
      <c r="H48" s="62">
        <f t="shared" si="12"/>
        <v>1.9483500717360114</v>
      </c>
      <c r="I48" s="103">
        <v>2789</v>
      </c>
      <c r="J48" s="38">
        <f t="shared" si="15"/>
        <v>-73</v>
      </c>
      <c r="K48" s="62">
        <f t="shared" si="13"/>
        <v>-2.6174256005736822</v>
      </c>
      <c r="L48" s="38">
        <f>E48/0.145</f>
        <v>18731.034482758623</v>
      </c>
    </row>
    <row r="49" spans="1:12" ht="13.5">
      <c r="A49" s="100"/>
      <c r="B49" s="100" t="s">
        <v>18</v>
      </c>
      <c r="C49" s="79"/>
      <c r="D49" s="37">
        <v>1323</v>
      </c>
      <c r="E49" s="38">
        <f t="shared" si="14"/>
        <v>3521</v>
      </c>
      <c r="F49" s="38">
        <v>1755</v>
      </c>
      <c r="G49" s="38">
        <v>1766</v>
      </c>
      <c r="H49" s="62">
        <f t="shared" si="12"/>
        <v>2.6613756613756614</v>
      </c>
      <c r="I49" s="103">
        <v>3541</v>
      </c>
      <c r="J49" s="38">
        <f t="shared" si="15"/>
        <v>-20</v>
      </c>
      <c r="K49" s="62">
        <f t="shared" si="13"/>
        <v>-0.5648121999435188</v>
      </c>
      <c r="L49" s="38">
        <f>E49/0.266</f>
        <v>13236.842105263157</v>
      </c>
    </row>
    <row r="50" spans="1:12" ht="6" customHeight="1">
      <c r="A50" s="100"/>
      <c r="B50" s="100"/>
      <c r="C50" s="79"/>
      <c r="D50" s="37"/>
      <c r="E50" s="38"/>
      <c r="F50" s="38"/>
      <c r="G50" s="38"/>
      <c r="H50" s="62"/>
      <c r="I50" s="103"/>
      <c r="J50" s="38"/>
      <c r="K50" s="62"/>
      <c r="L50" s="38"/>
    </row>
    <row r="51" spans="1:12" ht="13.5">
      <c r="A51" s="277" t="s">
        <v>34</v>
      </c>
      <c r="B51" s="277"/>
      <c r="C51" s="118"/>
      <c r="D51" s="9">
        <f>SUM(D52:D58)</f>
        <v>3077</v>
      </c>
      <c r="E51" s="4">
        <f>SUM(E52:E58)</f>
        <v>7925</v>
      </c>
      <c r="F51" s="4">
        <f>SUM(F52:F58)</f>
        <v>3997</v>
      </c>
      <c r="G51" s="4">
        <f>SUM(G52:G58)</f>
        <v>3928</v>
      </c>
      <c r="H51" s="22">
        <f aca="true" t="shared" si="16" ref="H51:H58">E51/D51</f>
        <v>2.5755606109847253</v>
      </c>
      <c r="I51" s="19"/>
      <c r="J51" s="4">
        <f>SUM(J52:J58)</f>
        <v>53</v>
      </c>
      <c r="K51" s="22">
        <f aca="true" t="shared" si="17" ref="K51:K58">J51/(E51-J51)*100</f>
        <v>0.6732723577235773</v>
      </c>
      <c r="L51" s="4">
        <f>E51/2.427</f>
        <v>3265.348166460651</v>
      </c>
    </row>
    <row r="52" spans="1:12" ht="13.5" customHeight="1">
      <c r="A52" s="100"/>
      <c r="B52" s="100" t="s">
        <v>13</v>
      </c>
      <c r="C52" s="79"/>
      <c r="D52" s="37">
        <v>420</v>
      </c>
      <c r="E52" s="38">
        <f aca="true" t="shared" si="18" ref="E52:E58">SUM(F52:G52)</f>
        <v>1041</v>
      </c>
      <c r="F52" s="38">
        <v>539</v>
      </c>
      <c r="G52" s="38">
        <v>502</v>
      </c>
      <c r="H52" s="62">
        <f t="shared" si="16"/>
        <v>2.4785714285714286</v>
      </c>
      <c r="I52" s="103">
        <v>1046</v>
      </c>
      <c r="J52" s="38">
        <f aca="true" t="shared" si="19" ref="J52:J58">E52-I52</f>
        <v>-5</v>
      </c>
      <c r="K52" s="62">
        <f t="shared" si="17"/>
        <v>-0.47801147227533464</v>
      </c>
      <c r="L52" s="38">
        <f>E52/0.358</f>
        <v>2907.8212290502793</v>
      </c>
    </row>
    <row r="53" spans="1:12" ht="13.5">
      <c r="A53" s="100"/>
      <c r="B53" s="100" t="s">
        <v>14</v>
      </c>
      <c r="C53" s="79"/>
      <c r="D53" s="37">
        <v>775</v>
      </c>
      <c r="E53" s="38">
        <f t="shared" si="18"/>
        <v>2054</v>
      </c>
      <c r="F53" s="38">
        <v>1021</v>
      </c>
      <c r="G53" s="38">
        <v>1033</v>
      </c>
      <c r="H53" s="62">
        <f t="shared" si="16"/>
        <v>2.6503225806451614</v>
      </c>
      <c r="I53" s="103">
        <v>2045</v>
      </c>
      <c r="J53" s="38">
        <f t="shared" si="19"/>
        <v>9</v>
      </c>
      <c r="K53" s="62">
        <f t="shared" si="17"/>
        <v>0.4400977995110024</v>
      </c>
      <c r="L53" s="38">
        <f>E53/0.343</f>
        <v>5988.338192419825</v>
      </c>
    </row>
    <row r="54" spans="1:12" ht="13.5">
      <c r="A54" s="100"/>
      <c r="B54" s="100" t="s">
        <v>15</v>
      </c>
      <c r="C54" s="79"/>
      <c r="D54" s="37">
        <v>328</v>
      </c>
      <c r="E54" s="38">
        <f t="shared" si="18"/>
        <v>867</v>
      </c>
      <c r="F54" s="38">
        <v>454</v>
      </c>
      <c r="G54" s="38">
        <v>413</v>
      </c>
      <c r="H54" s="62">
        <f t="shared" si="16"/>
        <v>2.643292682926829</v>
      </c>
      <c r="I54" s="103">
        <v>825</v>
      </c>
      <c r="J54" s="38">
        <f t="shared" si="19"/>
        <v>42</v>
      </c>
      <c r="K54" s="62">
        <f t="shared" si="17"/>
        <v>5.090909090909091</v>
      </c>
      <c r="L54" s="38">
        <f>E54/0.336</f>
        <v>2580.3571428571427</v>
      </c>
    </row>
    <row r="55" spans="1:12" ht="13.5">
      <c r="A55" s="100"/>
      <c r="B55" s="100" t="s">
        <v>16</v>
      </c>
      <c r="C55" s="79"/>
      <c r="D55" s="37">
        <v>212</v>
      </c>
      <c r="E55" s="38">
        <f t="shared" si="18"/>
        <v>556</v>
      </c>
      <c r="F55" s="38">
        <v>284</v>
      </c>
      <c r="G55" s="38">
        <v>272</v>
      </c>
      <c r="H55" s="62">
        <f t="shared" si="16"/>
        <v>2.6226415094339623</v>
      </c>
      <c r="I55" s="103">
        <v>553</v>
      </c>
      <c r="J55" s="38">
        <f t="shared" si="19"/>
        <v>3</v>
      </c>
      <c r="K55" s="62">
        <f t="shared" si="17"/>
        <v>0.5424954792043399</v>
      </c>
      <c r="L55" s="38">
        <f>E55/0.445</f>
        <v>1249.438202247191</v>
      </c>
    </row>
    <row r="56" spans="1:12" ht="13.5">
      <c r="A56" s="100"/>
      <c r="B56" s="100" t="s">
        <v>17</v>
      </c>
      <c r="C56" s="79"/>
      <c r="D56" s="37">
        <v>914</v>
      </c>
      <c r="E56" s="38">
        <f t="shared" si="18"/>
        <v>2302</v>
      </c>
      <c r="F56" s="38">
        <v>1151</v>
      </c>
      <c r="G56" s="38">
        <v>1151</v>
      </c>
      <c r="H56" s="62">
        <f t="shared" si="16"/>
        <v>2.5185995623632387</v>
      </c>
      <c r="I56" s="103">
        <v>2297</v>
      </c>
      <c r="J56" s="38">
        <f t="shared" si="19"/>
        <v>5</v>
      </c>
      <c r="K56" s="62">
        <f t="shared" si="17"/>
        <v>0.21767522855899</v>
      </c>
      <c r="L56" s="38">
        <f>E56/0.365</f>
        <v>6306.8493150684935</v>
      </c>
    </row>
    <row r="57" spans="1:12" ht="13.5">
      <c r="A57" s="100"/>
      <c r="B57" s="100" t="s">
        <v>18</v>
      </c>
      <c r="C57" s="79"/>
      <c r="D57" s="37">
        <v>399</v>
      </c>
      <c r="E57" s="38">
        <f t="shared" si="18"/>
        <v>1051</v>
      </c>
      <c r="F57" s="38">
        <v>533</v>
      </c>
      <c r="G57" s="38">
        <v>518</v>
      </c>
      <c r="H57" s="62">
        <f t="shared" si="16"/>
        <v>2.6340852130325816</v>
      </c>
      <c r="I57" s="103">
        <v>1061</v>
      </c>
      <c r="J57" s="38">
        <f t="shared" si="19"/>
        <v>-10</v>
      </c>
      <c r="K57" s="62">
        <f t="shared" si="17"/>
        <v>-0.9425070688030159</v>
      </c>
      <c r="L57" s="38">
        <f>E57/0.397</f>
        <v>2647.3551637279597</v>
      </c>
    </row>
    <row r="58" spans="1:12" ht="13.5">
      <c r="A58" s="100"/>
      <c r="B58" s="100" t="s">
        <v>19</v>
      </c>
      <c r="C58" s="79"/>
      <c r="D58" s="37">
        <v>29</v>
      </c>
      <c r="E58" s="38">
        <f t="shared" si="18"/>
        <v>54</v>
      </c>
      <c r="F58" s="38">
        <v>15</v>
      </c>
      <c r="G58" s="38">
        <v>39</v>
      </c>
      <c r="H58" s="62">
        <f t="shared" si="16"/>
        <v>1.8620689655172413</v>
      </c>
      <c r="I58" s="103">
        <v>45</v>
      </c>
      <c r="J58" s="38">
        <f t="shared" si="19"/>
        <v>9</v>
      </c>
      <c r="K58" s="62">
        <f t="shared" si="17"/>
        <v>20</v>
      </c>
      <c r="L58" s="38">
        <f>E58/0.183</f>
        <v>295.08196721311475</v>
      </c>
    </row>
    <row r="59" spans="1:12" ht="6" customHeight="1">
      <c r="A59" s="119"/>
      <c r="B59" s="119"/>
      <c r="C59" s="52"/>
      <c r="D59" s="95"/>
      <c r="E59" s="96"/>
      <c r="F59" s="96"/>
      <c r="G59" s="96"/>
      <c r="H59" s="96"/>
      <c r="I59" s="126"/>
      <c r="J59" s="96"/>
      <c r="K59" s="96"/>
      <c r="L59" s="96"/>
    </row>
    <row r="60" spans="1:12" ht="13.5">
      <c r="A60" s="43"/>
      <c r="B60" s="43"/>
      <c r="C60" s="43"/>
      <c r="D60" s="43"/>
      <c r="E60" s="43"/>
      <c r="F60" s="43"/>
      <c r="G60" s="43"/>
      <c r="H60" s="43"/>
      <c r="I60" s="125"/>
      <c r="J60" s="43"/>
      <c r="K60" s="43"/>
      <c r="L60" s="40"/>
    </row>
    <row r="64" ht="7.5" customHeight="1"/>
    <row r="69" ht="22.5" customHeight="1"/>
    <row r="73" ht="6" customHeight="1"/>
    <row r="74" ht="13.5" customHeight="1"/>
    <row r="81" ht="6" customHeight="1"/>
    <row r="82" ht="13.5" customHeight="1"/>
    <row r="88" ht="6" customHeight="1"/>
    <row r="89" ht="13.5" customHeight="1"/>
    <row r="98" ht="6" customHeight="1"/>
    <row r="99" ht="13.5" customHeight="1"/>
    <row r="107" ht="6" customHeight="1"/>
    <row r="108" ht="13.5" customHeight="1"/>
    <row r="115" ht="6" customHeight="1"/>
    <row r="116" ht="13.5" customHeight="1"/>
    <row r="124" ht="6" customHeight="1"/>
    <row r="125" ht="13.5" customHeight="1"/>
    <row r="126" ht="6" customHeight="1"/>
  </sheetData>
  <mergeCells count="12">
    <mergeCell ref="A34:B34"/>
    <mergeCell ref="A43:B43"/>
    <mergeCell ref="A51:B51"/>
    <mergeCell ref="A22:B22"/>
    <mergeCell ref="A6:B6"/>
    <mergeCell ref="A7:B7"/>
    <mergeCell ref="A15:B15"/>
    <mergeCell ref="A24:B24"/>
    <mergeCell ref="A4:C5"/>
    <mergeCell ref="D4:D5"/>
    <mergeCell ref="E4:G4"/>
    <mergeCell ref="J4:K4"/>
  </mergeCells>
  <printOptions/>
  <pageMargins left="0.7874015748031497" right="0.7874015748031497" top="0.7086614173228347" bottom="0.5905511811023623" header="0.5118110236220472" footer="0.5118110236220472"/>
  <pageSetup horizontalDpi="600" verticalDpi="600" orientation="portrait" paperSize="9" r:id="rId1"/>
  <headerFooter alignWithMargins="0">
    <oddHeader>&amp;R&amp;8人　口　　　　33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60"/>
  <sheetViews>
    <sheetView workbookViewId="0" topLeftCell="A1">
      <selection activeCell="E7" sqref="E7:E19"/>
    </sheetView>
  </sheetViews>
  <sheetFormatPr defaultColWidth="9.00390625" defaultRowHeight="13.5"/>
  <cols>
    <col min="1" max="1" width="3.75390625" style="2" customWidth="1"/>
    <col min="2" max="2" width="7.50390625" style="2" customWidth="1"/>
    <col min="3" max="3" width="1.4921875" style="2" customWidth="1"/>
    <col min="4" max="6" width="9.125" style="2" customWidth="1"/>
    <col min="7" max="8" width="8.75390625" style="2" customWidth="1"/>
    <col min="9" max="9" width="8.75390625" style="27" hidden="1" customWidth="1"/>
    <col min="10" max="10" width="9.125" style="2" bestFit="1" customWidth="1"/>
    <col min="11" max="11" width="9.50390625" style="2" bestFit="1" customWidth="1"/>
    <col min="12" max="12" width="9.125" style="2" customWidth="1"/>
    <col min="13" max="16384" width="9.00390625" style="2" customWidth="1"/>
  </cols>
  <sheetData>
    <row r="1" spans="1:11" ht="13.5" customHeight="1">
      <c r="A1" s="14"/>
      <c r="B1" s="14"/>
      <c r="C1" s="14"/>
      <c r="D1" s="14"/>
      <c r="E1" s="14"/>
      <c r="F1" s="14"/>
      <c r="G1" s="14"/>
      <c r="H1" s="14"/>
      <c r="I1" s="25" t="s">
        <v>259</v>
      </c>
      <c r="J1" s="14"/>
      <c r="K1" s="14"/>
    </row>
    <row r="2" spans="1:12" ht="23.25" customHeight="1">
      <c r="A2" s="34" t="s">
        <v>345</v>
      </c>
      <c r="B2" s="20"/>
      <c r="C2" s="20"/>
      <c r="D2" s="20"/>
      <c r="E2" s="20"/>
      <c r="F2" s="20"/>
      <c r="G2" s="20"/>
      <c r="H2" s="20"/>
      <c r="I2" s="28"/>
      <c r="J2" s="20"/>
      <c r="K2" s="20"/>
      <c r="L2" s="20"/>
    </row>
    <row r="3" spans="1:12" ht="14.25" customHeight="1">
      <c r="A3" s="21"/>
      <c r="B3" s="18"/>
      <c r="C3" s="18"/>
      <c r="D3" s="18"/>
      <c r="E3" s="18"/>
      <c r="F3" s="18"/>
      <c r="G3" s="18"/>
      <c r="H3" s="18"/>
      <c r="I3" s="29"/>
      <c r="J3" s="10"/>
      <c r="K3" s="10"/>
      <c r="L3" s="203" t="s">
        <v>260</v>
      </c>
    </row>
    <row r="4" spans="1:12" ht="13.5">
      <c r="A4" s="274"/>
      <c r="B4" s="273"/>
      <c r="C4" s="273"/>
      <c r="D4" s="273" t="s">
        <v>5</v>
      </c>
      <c r="E4" s="273" t="s">
        <v>7</v>
      </c>
      <c r="F4" s="273"/>
      <c r="G4" s="273"/>
      <c r="H4" s="111" t="s">
        <v>114</v>
      </c>
      <c r="I4" s="108" t="s">
        <v>258</v>
      </c>
      <c r="J4" s="273" t="s">
        <v>157</v>
      </c>
      <c r="K4" s="273"/>
      <c r="L4" s="113" t="s">
        <v>4</v>
      </c>
    </row>
    <row r="5" spans="1:12" ht="13.5">
      <c r="A5" s="275"/>
      <c r="B5" s="276"/>
      <c r="C5" s="276"/>
      <c r="D5" s="276"/>
      <c r="E5" s="109" t="s">
        <v>8</v>
      </c>
      <c r="F5" s="109" t="s">
        <v>9</v>
      </c>
      <c r="G5" s="109" t="s">
        <v>10</v>
      </c>
      <c r="H5" s="112" t="s">
        <v>2</v>
      </c>
      <c r="I5" s="110"/>
      <c r="J5" s="109" t="s">
        <v>35</v>
      </c>
      <c r="K5" s="109" t="s">
        <v>113</v>
      </c>
      <c r="L5" s="114" t="s">
        <v>186</v>
      </c>
    </row>
    <row r="6" spans="1:12" ht="6" customHeight="1">
      <c r="A6" s="279"/>
      <c r="B6" s="279"/>
      <c r="C6" s="115"/>
      <c r="D6" s="97"/>
      <c r="E6" s="53"/>
      <c r="F6" s="53"/>
      <c r="G6" s="53"/>
      <c r="H6" s="98"/>
      <c r="I6" s="99"/>
      <c r="J6" s="53"/>
      <c r="K6" s="53"/>
      <c r="L6" s="40"/>
    </row>
    <row r="7" spans="1:12" ht="13.5">
      <c r="A7" s="277" t="s">
        <v>28</v>
      </c>
      <c r="B7" s="277"/>
      <c r="C7" s="265"/>
      <c r="D7" s="9">
        <f>SUM(D8:D13)</f>
        <v>5905</v>
      </c>
      <c r="E7" s="9">
        <f>SUM(E8:E13)</f>
        <v>13181</v>
      </c>
      <c r="F7" s="9">
        <f>SUM(F8:F13)</f>
        <v>6592</v>
      </c>
      <c r="G7" s="9">
        <f>SUM(G8:G13)</f>
        <v>6589</v>
      </c>
      <c r="H7" s="22">
        <f aca="true" t="shared" si="0" ref="H7:H13">E7/D7</f>
        <v>2.2321761219305674</v>
      </c>
      <c r="I7" s="19"/>
      <c r="J7" s="4">
        <f>SUM(J8:J13)</f>
        <v>-26</v>
      </c>
      <c r="K7" s="22">
        <f aca="true" t="shared" si="1" ref="K7:K13">J7/(E7-J7)*100</f>
        <v>-0.1968652987052321</v>
      </c>
      <c r="L7" s="4">
        <f>E7/1.715</f>
        <v>7685.714285714285</v>
      </c>
    </row>
    <row r="8" spans="1:12" ht="13.5" customHeight="1">
      <c r="A8" s="100"/>
      <c r="B8" s="100" t="s">
        <v>13</v>
      </c>
      <c r="C8" s="79"/>
      <c r="D8" s="37">
        <v>457</v>
      </c>
      <c r="E8" s="38">
        <f aca="true" t="shared" si="2" ref="E8:E13">SUM(F8:G8)</f>
        <v>1060</v>
      </c>
      <c r="F8" s="38">
        <v>551</v>
      </c>
      <c r="G8" s="38">
        <v>509</v>
      </c>
      <c r="H8" s="62">
        <f t="shared" si="0"/>
        <v>2.3194748358862145</v>
      </c>
      <c r="I8" s="103">
        <v>1068</v>
      </c>
      <c r="J8" s="38">
        <f aca="true" t="shared" si="3" ref="J8:J13">E8-I8</f>
        <v>-8</v>
      </c>
      <c r="K8" s="62">
        <f t="shared" si="1"/>
        <v>-0.7490636704119851</v>
      </c>
      <c r="L8" s="38">
        <f>E8/0.201</f>
        <v>5273.63184079602</v>
      </c>
    </row>
    <row r="9" spans="1:12" ht="13.5">
      <c r="A9" s="100"/>
      <c r="B9" s="100" t="s">
        <v>14</v>
      </c>
      <c r="C9" s="79"/>
      <c r="D9" s="37">
        <v>1309</v>
      </c>
      <c r="E9" s="38">
        <f t="shared" si="2"/>
        <v>3012</v>
      </c>
      <c r="F9" s="38">
        <v>1473</v>
      </c>
      <c r="G9" s="38">
        <v>1539</v>
      </c>
      <c r="H9" s="62">
        <f t="shared" si="0"/>
        <v>2.3009931245225363</v>
      </c>
      <c r="I9" s="103">
        <v>3077</v>
      </c>
      <c r="J9" s="38">
        <f t="shared" si="3"/>
        <v>-65</v>
      </c>
      <c r="K9" s="62">
        <f t="shared" si="1"/>
        <v>-2.1124471888202794</v>
      </c>
      <c r="L9" s="38">
        <f>E9/0.261</f>
        <v>11540.229885057472</v>
      </c>
    </row>
    <row r="10" spans="1:12" ht="13.5">
      <c r="A10" s="100"/>
      <c r="B10" s="100" t="s">
        <v>15</v>
      </c>
      <c r="C10" s="79"/>
      <c r="D10" s="37">
        <v>555</v>
      </c>
      <c r="E10" s="38">
        <f t="shared" si="2"/>
        <v>1247</v>
      </c>
      <c r="F10" s="38">
        <v>634</v>
      </c>
      <c r="G10" s="38">
        <v>613</v>
      </c>
      <c r="H10" s="62">
        <f t="shared" si="0"/>
        <v>2.246846846846847</v>
      </c>
      <c r="I10" s="103">
        <v>1233</v>
      </c>
      <c r="J10" s="38">
        <f t="shared" si="3"/>
        <v>14</v>
      </c>
      <c r="K10" s="62">
        <f t="shared" si="1"/>
        <v>1.1354420113544201</v>
      </c>
      <c r="L10" s="38">
        <f>E10/0.152</f>
        <v>8203.947368421053</v>
      </c>
    </row>
    <row r="11" spans="1:12" ht="13.5">
      <c r="A11" s="100"/>
      <c r="B11" s="100" t="s">
        <v>16</v>
      </c>
      <c r="C11" s="79"/>
      <c r="D11" s="37">
        <v>1661</v>
      </c>
      <c r="E11" s="38">
        <f t="shared" si="2"/>
        <v>3482</v>
      </c>
      <c r="F11" s="38">
        <v>1753</v>
      </c>
      <c r="G11" s="38">
        <v>1729</v>
      </c>
      <c r="H11" s="62">
        <f t="shared" si="0"/>
        <v>2.0963275135460564</v>
      </c>
      <c r="I11" s="103">
        <v>3492</v>
      </c>
      <c r="J11" s="38">
        <f t="shared" si="3"/>
        <v>-10</v>
      </c>
      <c r="K11" s="62">
        <f t="shared" si="1"/>
        <v>-0.286368843069874</v>
      </c>
      <c r="L11" s="38">
        <f>E11/0.383</f>
        <v>9091.383812010443</v>
      </c>
    </row>
    <row r="12" spans="1:12" ht="13.5">
      <c r="A12" s="100"/>
      <c r="B12" s="100" t="s">
        <v>17</v>
      </c>
      <c r="C12" s="79"/>
      <c r="D12" s="37">
        <v>1359</v>
      </c>
      <c r="E12" s="38">
        <f t="shared" si="2"/>
        <v>3113</v>
      </c>
      <c r="F12" s="38">
        <v>1563</v>
      </c>
      <c r="G12" s="38">
        <v>1550</v>
      </c>
      <c r="H12" s="62">
        <f t="shared" si="0"/>
        <v>2.2906548933038997</v>
      </c>
      <c r="I12" s="103">
        <v>3064</v>
      </c>
      <c r="J12" s="38">
        <f t="shared" si="3"/>
        <v>49</v>
      </c>
      <c r="K12" s="62">
        <f t="shared" si="1"/>
        <v>1.5992167101827677</v>
      </c>
      <c r="L12" s="38">
        <f>E12/0.487</f>
        <v>6392.197125256674</v>
      </c>
    </row>
    <row r="13" spans="1:12" ht="13.5">
      <c r="A13" s="100"/>
      <c r="B13" s="100" t="s">
        <v>18</v>
      </c>
      <c r="C13" s="79"/>
      <c r="D13" s="37">
        <v>564</v>
      </c>
      <c r="E13" s="38">
        <f t="shared" si="2"/>
        <v>1267</v>
      </c>
      <c r="F13" s="38">
        <v>618</v>
      </c>
      <c r="G13" s="38">
        <v>649</v>
      </c>
      <c r="H13" s="62">
        <f t="shared" si="0"/>
        <v>2.24645390070922</v>
      </c>
      <c r="I13" s="103">
        <v>1273</v>
      </c>
      <c r="J13" s="38">
        <f t="shared" si="3"/>
        <v>-6</v>
      </c>
      <c r="K13" s="62">
        <f t="shared" si="1"/>
        <v>-0.4713275726630008</v>
      </c>
      <c r="L13" s="38">
        <f>E13/0.231</f>
        <v>5484.848484848485</v>
      </c>
    </row>
    <row r="14" spans="1:12" ht="6" customHeight="1">
      <c r="A14" s="100"/>
      <c r="B14" s="100"/>
      <c r="C14" s="79"/>
      <c r="D14" s="37"/>
      <c r="E14" s="38"/>
      <c r="F14" s="38"/>
      <c r="G14" s="38"/>
      <c r="H14" s="62"/>
      <c r="I14" s="103"/>
      <c r="J14" s="38"/>
      <c r="K14" s="62"/>
      <c r="L14" s="38"/>
    </row>
    <row r="15" spans="1:12" ht="13.5">
      <c r="A15" s="277" t="s">
        <v>29</v>
      </c>
      <c r="B15" s="277"/>
      <c r="C15" s="265"/>
      <c r="D15" s="9">
        <f>SUM(D16:D20)</f>
        <v>4080</v>
      </c>
      <c r="E15" s="4">
        <f>SUM(E16:E20)</f>
        <v>8842</v>
      </c>
      <c r="F15" s="4">
        <f>SUM(F16:F20)</f>
        <v>4263</v>
      </c>
      <c r="G15" s="4">
        <f>SUM(G16:G20)</f>
        <v>4579</v>
      </c>
      <c r="H15" s="22">
        <f aca="true" t="shared" si="4" ref="H15:H20">E15/D15</f>
        <v>2.167156862745098</v>
      </c>
      <c r="I15" s="19"/>
      <c r="J15" s="4">
        <f>SUM(J16:J20)</f>
        <v>376</v>
      </c>
      <c r="K15" s="22">
        <f aca="true" t="shared" si="5" ref="K15:K20">J15/(E15-J15)*100</f>
        <v>4.4412945901252066</v>
      </c>
      <c r="L15" s="4">
        <f>E15/1.154</f>
        <v>7662.045060658579</v>
      </c>
    </row>
    <row r="16" spans="1:12" ht="13.5">
      <c r="A16" s="100"/>
      <c r="B16" s="100" t="s">
        <v>13</v>
      </c>
      <c r="C16" s="79"/>
      <c r="D16" s="37">
        <v>938</v>
      </c>
      <c r="E16" s="38">
        <f>SUM(F16:G16)</f>
        <v>2091</v>
      </c>
      <c r="F16" s="38">
        <v>995</v>
      </c>
      <c r="G16" s="38">
        <v>1096</v>
      </c>
      <c r="H16" s="62">
        <f t="shared" si="4"/>
        <v>2.2292110874200426</v>
      </c>
      <c r="I16" s="103">
        <v>2150</v>
      </c>
      <c r="J16" s="38">
        <f>E16-I16</f>
        <v>-59</v>
      </c>
      <c r="K16" s="62">
        <f t="shared" si="5"/>
        <v>-2.744186046511628</v>
      </c>
      <c r="L16" s="38">
        <f>E16/0.209</f>
        <v>10004.784688995216</v>
      </c>
    </row>
    <row r="17" spans="1:12" ht="13.5" customHeight="1">
      <c r="A17" s="100"/>
      <c r="B17" s="100" t="s">
        <v>14</v>
      </c>
      <c r="C17" s="79"/>
      <c r="D17" s="37">
        <v>357</v>
      </c>
      <c r="E17" s="38">
        <f>SUM(F17:G17)</f>
        <v>900</v>
      </c>
      <c r="F17" s="38">
        <v>448</v>
      </c>
      <c r="G17" s="38">
        <v>452</v>
      </c>
      <c r="H17" s="62">
        <f t="shared" si="4"/>
        <v>2.5210084033613445</v>
      </c>
      <c r="I17" s="103">
        <v>932</v>
      </c>
      <c r="J17" s="38">
        <f>E17-I17</f>
        <v>-32</v>
      </c>
      <c r="K17" s="62">
        <f t="shared" si="5"/>
        <v>-3.4334763948497855</v>
      </c>
      <c r="L17" s="38">
        <f>E17/0.184</f>
        <v>4891.304347826087</v>
      </c>
    </row>
    <row r="18" spans="1:12" ht="13.5">
      <c r="A18" s="100"/>
      <c r="B18" s="100" t="s">
        <v>15</v>
      </c>
      <c r="C18" s="79"/>
      <c r="D18" s="37">
        <v>685</v>
      </c>
      <c r="E18" s="38">
        <f>SUM(F18:G18)</f>
        <v>1458</v>
      </c>
      <c r="F18" s="38">
        <v>759</v>
      </c>
      <c r="G18" s="38">
        <v>699</v>
      </c>
      <c r="H18" s="62">
        <f t="shared" si="4"/>
        <v>2.1284671532846717</v>
      </c>
      <c r="I18" s="103">
        <v>1432</v>
      </c>
      <c r="J18" s="38">
        <f>E18-I18</f>
        <v>26</v>
      </c>
      <c r="K18" s="62">
        <f t="shared" si="5"/>
        <v>1.8156424581005588</v>
      </c>
      <c r="L18" s="38">
        <f>E18/0.185</f>
        <v>7881.081081081081</v>
      </c>
    </row>
    <row r="19" spans="1:12" ht="13.5">
      <c r="A19" s="100"/>
      <c r="B19" s="100" t="s">
        <v>16</v>
      </c>
      <c r="C19" s="79"/>
      <c r="D19" s="37">
        <v>1803</v>
      </c>
      <c r="E19" s="38">
        <f>SUM(F19:G19)</f>
        <v>3839</v>
      </c>
      <c r="F19" s="38">
        <v>1854</v>
      </c>
      <c r="G19" s="38">
        <v>1985</v>
      </c>
      <c r="H19" s="62">
        <f t="shared" si="4"/>
        <v>2.129229062673322</v>
      </c>
      <c r="I19" s="103">
        <v>3833</v>
      </c>
      <c r="J19" s="38">
        <f>E19-I19</f>
        <v>6</v>
      </c>
      <c r="K19" s="62">
        <f t="shared" si="5"/>
        <v>0.15653535090007828</v>
      </c>
      <c r="L19" s="38">
        <f>E19/0.434</f>
        <v>8845.622119815669</v>
      </c>
    </row>
    <row r="20" spans="1:12" ht="13.5">
      <c r="A20" s="100"/>
      <c r="B20" s="100" t="s">
        <v>17</v>
      </c>
      <c r="C20" s="79"/>
      <c r="D20" s="37">
        <v>297</v>
      </c>
      <c r="E20" s="38">
        <f>SUM(F20:G20)</f>
        <v>554</v>
      </c>
      <c r="F20" s="38">
        <v>207</v>
      </c>
      <c r="G20" s="38">
        <v>347</v>
      </c>
      <c r="H20" s="62">
        <f t="shared" si="4"/>
        <v>1.8653198653198653</v>
      </c>
      <c r="I20" s="103">
        <v>119</v>
      </c>
      <c r="J20" s="38">
        <f>E20-I20</f>
        <v>435</v>
      </c>
      <c r="K20" s="62">
        <f t="shared" si="5"/>
        <v>365.5462184873949</v>
      </c>
      <c r="L20" s="38">
        <f>E20/0.142</f>
        <v>3901.4084507042257</v>
      </c>
    </row>
    <row r="21" spans="1:12" ht="6" customHeight="1">
      <c r="A21" s="100"/>
      <c r="B21" s="100"/>
      <c r="C21" s="79"/>
      <c r="D21" s="37"/>
      <c r="E21" s="38"/>
      <c r="F21" s="38"/>
      <c r="G21" s="38"/>
      <c r="H21" s="62"/>
      <c r="I21" s="103"/>
      <c r="J21" s="38"/>
      <c r="K21" s="62"/>
      <c r="L21" s="38"/>
    </row>
    <row r="22" spans="1:12" ht="13.5" customHeight="1">
      <c r="A22" s="277" t="s">
        <v>116</v>
      </c>
      <c r="B22" s="277"/>
      <c r="C22" s="265"/>
      <c r="D22" s="9">
        <v>393</v>
      </c>
      <c r="E22" s="4">
        <f>SUM(F22:G22)</f>
        <v>1129</v>
      </c>
      <c r="F22" s="4">
        <v>547</v>
      </c>
      <c r="G22" s="4">
        <v>582</v>
      </c>
      <c r="H22" s="22">
        <f>E22/D22</f>
        <v>2.872773536895674</v>
      </c>
      <c r="I22" s="19">
        <v>1108</v>
      </c>
      <c r="J22" s="4">
        <f>E22-I22</f>
        <v>21</v>
      </c>
      <c r="K22" s="22">
        <f>J22/(E22-J22)*100</f>
        <v>1.895306859205776</v>
      </c>
      <c r="L22" s="4">
        <f>E22/2.26</f>
        <v>499.5575221238939</v>
      </c>
    </row>
    <row r="23" spans="1:12" ht="6" customHeight="1">
      <c r="A23" s="100"/>
      <c r="B23" s="100"/>
      <c r="C23" s="79"/>
      <c r="D23" s="37"/>
      <c r="E23" s="38"/>
      <c r="F23" s="38"/>
      <c r="G23" s="38"/>
      <c r="H23" s="62"/>
      <c r="I23" s="103"/>
      <c r="J23" s="38"/>
      <c r="K23" s="62"/>
      <c r="L23" s="38"/>
    </row>
    <row r="24" spans="1:12" ht="13.5">
      <c r="A24" s="277" t="s">
        <v>30</v>
      </c>
      <c r="B24" s="277"/>
      <c r="C24" s="265"/>
      <c r="D24" s="9">
        <f>SUM(D25:D32)</f>
        <v>6379</v>
      </c>
      <c r="E24" s="4">
        <f>SUM(E25:E32)</f>
        <v>15638</v>
      </c>
      <c r="F24" s="4">
        <f>SUM(F25:F32)</f>
        <v>7961</v>
      </c>
      <c r="G24" s="4">
        <f>SUM(G25:G32)</f>
        <v>7677</v>
      </c>
      <c r="H24" s="22">
        <f aca="true" t="shared" si="6" ref="H24:H32">E24/D24</f>
        <v>2.451481423420599</v>
      </c>
      <c r="I24" s="19"/>
      <c r="J24" s="4">
        <f>SUM(J25:J32)</f>
        <v>137</v>
      </c>
      <c r="K24" s="22">
        <f aca="true" t="shared" si="7" ref="K24:K32">J24/(E24-J24)*100</f>
        <v>0.8838139474872589</v>
      </c>
      <c r="L24" s="4">
        <f>E24/2.08</f>
        <v>7518.2692307692305</v>
      </c>
    </row>
    <row r="25" spans="1:12" ht="13.5">
      <c r="A25" s="100"/>
      <c r="B25" s="100" t="s">
        <v>13</v>
      </c>
      <c r="C25" s="79"/>
      <c r="D25" s="37">
        <v>409</v>
      </c>
      <c r="E25" s="38">
        <f aca="true" t="shared" si="8" ref="E25:E32">SUM(F25:G25)</f>
        <v>1035</v>
      </c>
      <c r="F25" s="38">
        <v>528</v>
      </c>
      <c r="G25" s="38">
        <v>507</v>
      </c>
      <c r="H25" s="62">
        <f t="shared" si="6"/>
        <v>2.530562347188264</v>
      </c>
      <c r="I25" s="103">
        <v>1056</v>
      </c>
      <c r="J25" s="38">
        <f aca="true" t="shared" si="9" ref="J25:J32">E25-I25</f>
        <v>-21</v>
      </c>
      <c r="K25" s="62">
        <f t="shared" si="7"/>
        <v>-1.9886363636363635</v>
      </c>
      <c r="L25" s="38">
        <f>E25/0.258</f>
        <v>4011.6279069767443</v>
      </c>
    </row>
    <row r="26" spans="1:12" ht="13.5">
      <c r="A26" s="100"/>
      <c r="B26" s="100" t="s">
        <v>14</v>
      </c>
      <c r="C26" s="79"/>
      <c r="D26" s="37">
        <v>682</v>
      </c>
      <c r="E26" s="38">
        <f t="shared" si="8"/>
        <v>1823</v>
      </c>
      <c r="F26" s="38">
        <v>903</v>
      </c>
      <c r="G26" s="38">
        <v>920</v>
      </c>
      <c r="H26" s="62">
        <f t="shared" si="6"/>
        <v>2.6730205278592374</v>
      </c>
      <c r="I26" s="103">
        <v>1801</v>
      </c>
      <c r="J26" s="38">
        <f t="shared" si="9"/>
        <v>22</v>
      </c>
      <c r="K26" s="62">
        <f t="shared" si="7"/>
        <v>1.2215435868961688</v>
      </c>
      <c r="L26" s="38">
        <f>E26/0.333</f>
        <v>5474.474474474474</v>
      </c>
    </row>
    <row r="27" spans="1:12" ht="13.5" customHeight="1">
      <c r="A27" s="100"/>
      <c r="B27" s="100" t="s">
        <v>15</v>
      </c>
      <c r="C27" s="79"/>
      <c r="D27" s="37">
        <v>512</v>
      </c>
      <c r="E27" s="38">
        <f t="shared" si="8"/>
        <v>1216</v>
      </c>
      <c r="F27" s="38">
        <v>638</v>
      </c>
      <c r="G27" s="38">
        <v>578</v>
      </c>
      <c r="H27" s="62">
        <f t="shared" si="6"/>
        <v>2.375</v>
      </c>
      <c r="I27" s="103">
        <v>1206</v>
      </c>
      <c r="J27" s="38">
        <f t="shared" si="9"/>
        <v>10</v>
      </c>
      <c r="K27" s="62">
        <f t="shared" si="7"/>
        <v>0.8291873963515755</v>
      </c>
      <c r="L27" s="38">
        <f>E27/0.228</f>
        <v>5333.333333333333</v>
      </c>
    </row>
    <row r="28" spans="1:12" ht="13.5">
      <c r="A28" s="100"/>
      <c r="B28" s="100" t="s">
        <v>16</v>
      </c>
      <c r="C28" s="79"/>
      <c r="D28" s="37">
        <v>941</v>
      </c>
      <c r="E28" s="38">
        <f t="shared" si="8"/>
        <v>2392</v>
      </c>
      <c r="F28" s="38">
        <v>1232</v>
      </c>
      <c r="G28" s="38">
        <v>1160</v>
      </c>
      <c r="H28" s="62">
        <f t="shared" si="6"/>
        <v>2.5419766206163654</v>
      </c>
      <c r="I28" s="103">
        <v>2364</v>
      </c>
      <c r="J28" s="38">
        <f t="shared" si="9"/>
        <v>28</v>
      </c>
      <c r="K28" s="62">
        <f t="shared" si="7"/>
        <v>1.1844331641285957</v>
      </c>
      <c r="L28" s="38">
        <f>E28/0.269</f>
        <v>8892.193308550186</v>
      </c>
    </row>
    <row r="29" spans="1:12" ht="13.5">
      <c r="A29" s="100"/>
      <c r="B29" s="100" t="s">
        <v>17</v>
      </c>
      <c r="C29" s="79"/>
      <c r="D29" s="37">
        <v>336</v>
      </c>
      <c r="E29" s="38">
        <f t="shared" si="8"/>
        <v>763</v>
      </c>
      <c r="F29" s="38">
        <v>385</v>
      </c>
      <c r="G29" s="38">
        <v>378</v>
      </c>
      <c r="H29" s="62">
        <f t="shared" si="6"/>
        <v>2.2708333333333335</v>
      </c>
      <c r="I29" s="103">
        <v>736</v>
      </c>
      <c r="J29" s="38">
        <f t="shared" si="9"/>
        <v>27</v>
      </c>
      <c r="K29" s="62">
        <f t="shared" si="7"/>
        <v>3.6684782608695654</v>
      </c>
      <c r="L29" s="38">
        <f>E29/0.201</f>
        <v>3796.019900497512</v>
      </c>
    </row>
    <row r="30" spans="1:12" ht="13.5">
      <c r="A30" s="100"/>
      <c r="B30" s="100" t="s">
        <v>18</v>
      </c>
      <c r="C30" s="79"/>
      <c r="D30" s="37">
        <v>759</v>
      </c>
      <c r="E30" s="38">
        <f t="shared" si="8"/>
        <v>1820</v>
      </c>
      <c r="F30" s="38">
        <v>907</v>
      </c>
      <c r="G30" s="38">
        <v>913</v>
      </c>
      <c r="H30" s="62">
        <f t="shared" si="6"/>
        <v>2.3978919631093545</v>
      </c>
      <c r="I30" s="103">
        <v>1799</v>
      </c>
      <c r="J30" s="38">
        <f t="shared" si="9"/>
        <v>21</v>
      </c>
      <c r="K30" s="62">
        <f t="shared" si="7"/>
        <v>1.1673151750972763</v>
      </c>
      <c r="L30" s="38">
        <f>E30/0.225</f>
        <v>8088.888888888889</v>
      </c>
    </row>
    <row r="31" spans="1:12" ht="13.5">
      <c r="A31" s="100"/>
      <c r="B31" s="100" t="s">
        <v>19</v>
      </c>
      <c r="C31" s="79"/>
      <c r="D31" s="37">
        <v>1123</v>
      </c>
      <c r="E31" s="38">
        <f t="shared" si="8"/>
        <v>2719</v>
      </c>
      <c r="F31" s="38">
        <v>1377</v>
      </c>
      <c r="G31" s="38">
        <v>1342</v>
      </c>
      <c r="H31" s="62">
        <f t="shared" si="6"/>
        <v>2.421193232413179</v>
      </c>
      <c r="I31" s="103">
        <v>2723</v>
      </c>
      <c r="J31" s="38">
        <f t="shared" si="9"/>
        <v>-4</v>
      </c>
      <c r="K31" s="62">
        <f t="shared" si="7"/>
        <v>-0.14689680499449137</v>
      </c>
      <c r="L31" s="38">
        <f>E31/0.228</f>
        <v>11925.438596491227</v>
      </c>
    </row>
    <row r="32" spans="1:12" ht="13.5">
      <c r="A32" s="100"/>
      <c r="B32" s="100" t="s">
        <v>31</v>
      </c>
      <c r="C32" s="79"/>
      <c r="D32" s="37">
        <v>1617</v>
      </c>
      <c r="E32" s="38">
        <f t="shared" si="8"/>
        <v>3870</v>
      </c>
      <c r="F32" s="38">
        <v>1991</v>
      </c>
      <c r="G32" s="38">
        <v>1879</v>
      </c>
      <c r="H32" s="62">
        <f t="shared" si="6"/>
        <v>2.3933209647495364</v>
      </c>
      <c r="I32" s="103">
        <v>3816</v>
      </c>
      <c r="J32" s="38">
        <f t="shared" si="9"/>
        <v>54</v>
      </c>
      <c r="K32" s="62">
        <f t="shared" si="7"/>
        <v>1.4150943396226416</v>
      </c>
      <c r="L32" s="38">
        <f>E32/0.338</f>
        <v>11449.704142011833</v>
      </c>
    </row>
    <row r="33" spans="1:12" ht="6" customHeight="1">
      <c r="A33" s="100"/>
      <c r="B33" s="100"/>
      <c r="C33" s="79"/>
      <c r="D33" s="37"/>
      <c r="E33" s="38"/>
      <c r="F33" s="38"/>
      <c r="G33" s="38"/>
      <c r="H33" s="62"/>
      <c r="I33" s="103"/>
      <c r="J33" s="38"/>
      <c r="K33" s="62"/>
      <c r="L33" s="38"/>
    </row>
    <row r="34" spans="1:12" ht="13.5">
      <c r="A34" s="277" t="s">
        <v>32</v>
      </c>
      <c r="B34" s="277"/>
      <c r="C34" s="265"/>
      <c r="D34" s="9">
        <f>SUM(D35:D41)</f>
        <v>4486</v>
      </c>
      <c r="E34" s="9">
        <f>SUM(E35:E41)</f>
        <v>10585</v>
      </c>
      <c r="F34" s="9">
        <f>SUM(F35:F41)</f>
        <v>5135</v>
      </c>
      <c r="G34" s="9">
        <f>SUM(G35:G41)</f>
        <v>5450</v>
      </c>
      <c r="H34" s="22">
        <f aca="true" t="shared" si="10" ref="H34:H39">E34/D34</f>
        <v>2.359563085153812</v>
      </c>
      <c r="I34" s="19"/>
      <c r="J34" s="4">
        <f>SUM(J35:J40)</f>
        <v>105</v>
      </c>
      <c r="K34" s="22">
        <f aca="true" t="shared" si="11" ref="K34:K39">J34/(E34-J34)*100</f>
        <v>1.0019083969465647</v>
      </c>
      <c r="L34" s="4">
        <f>E34/1.82</f>
        <v>5815.934065934066</v>
      </c>
    </row>
    <row r="35" spans="1:12" ht="13.5" customHeight="1">
      <c r="A35" s="100"/>
      <c r="B35" s="100" t="s">
        <v>13</v>
      </c>
      <c r="C35" s="79"/>
      <c r="D35" s="37">
        <v>1401</v>
      </c>
      <c r="E35" s="38">
        <f>SUM(F35:G35)</f>
        <v>3246</v>
      </c>
      <c r="F35" s="38">
        <v>1427</v>
      </c>
      <c r="G35" s="38">
        <v>1819</v>
      </c>
      <c r="H35" s="62">
        <f t="shared" si="10"/>
        <v>2.3169164882226982</v>
      </c>
      <c r="I35" s="103">
        <v>3252</v>
      </c>
      <c r="J35" s="38">
        <f>E35-I35</f>
        <v>-6</v>
      </c>
      <c r="K35" s="62">
        <f t="shared" si="11"/>
        <v>-0.18450184501845018</v>
      </c>
      <c r="L35" s="38">
        <f>E35/0.253</f>
        <v>12830.0395256917</v>
      </c>
    </row>
    <row r="36" spans="1:12" ht="13.5">
      <c r="A36" s="100"/>
      <c r="B36" s="100" t="s">
        <v>14</v>
      </c>
      <c r="C36" s="79"/>
      <c r="D36" s="37">
        <v>313</v>
      </c>
      <c r="E36" s="38">
        <f>SUM(F36:G36)</f>
        <v>782</v>
      </c>
      <c r="F36" s="38">
        <v>400</v>
      </c>
      <c r="G36" s="38">
        <v>382</v>
      </c>
      <c r="H36" s="62">
        <f t="shared" si="10"/>
        <v>2.498402555910543</v>
      </c>
      <c r="I36" s="103">
        <v>756</v>
      </c>
      <c r="J36" s="38">
        <f>E36-I36</f>
        <v>26</v>
      </c>
      <c r="K36" s="62">
        <f t="shared" si="11"/>
        <v>3.439153439153439</v>
      </c>
      <c r="L36" s="38">
        <f>E36/0.188</f>
        <v>4159.574468085107</v>
      </c>
    </row>
    <row r="37" spans="1:12" ht="13.5">
      <c r="A37" s="100"/>
      <c r="B37" s="100" t="s">
        <v>15</v>
      </c>
      <c r="C37" s="79"/>
      <c r="D37" s="37">
        <v>573</v>
      </c>
      <c r="E37" s="38">
        <f>SUM(F37:G37)</f>
        <v>1444</v>
      </c>
      <c r="F37" s="38">
        <v>747</v>
      </c>
      <c r="G37" s="38">
        <v>697</v>
      </c>
      <c r="H37" s="62">
        <f t="shared" si="10"/>
        <v>2.520069808027923</v>
      </c>
      <c r="I37" s="103">
        <v>1422</v>
      </c>
      <c r="J37" s="38">
        <f>E37-I37</f>
        <v>22</v>
      </c>
      <c r="K37" s="62">
        <f t="shared" si="11"/>
        <v>1.5471167369901548</v>
      </c>
      <c r="L37" s="38">
        <f>E37/0.283</f>
        <v>5102.473498233216</v>
      </c>
    </row>
    <row r="38" spans="1:12" ht="13.5">
      <c r="A38" s="100"/>
      <c r="B38" s="100" t="s">
        <v>16</v>
      </c>
      <c r="C38" s="79"/>
      <c r="D38" s="37">
        <v>333</v>
      </c>
      <c r="E38" s="38">
        <f>SUM(F38:G38)</f>
        <v>814</v>
      </c>
      <c r="F38" s="38">
        <v>408</v>
      </c>
      <c r="G38" s="38">
        <v>406</v>
      </c>
      <c r="H38" s="62">
        <f t="shared" si="10"/>
        <v>2.4444444444444446</v>
      </c>
      <c r="I38" s="103">
        <v>807</v>
      </c>
      <c r="J38" s="38">
        <f>E38-I38</f>
        <v>7</v>
      </c>
      <c r="K38" s="62">
        <f t="shared" si="11"/>
        <v>0.8674101610904585</v>
      </c>
      <c r="L38" s="38">
        <f>E38/0.23</f>
        <v>3539.1304347826085</v>
      </c>
    </row>
    <row r="39" spans="1:12" ht="13.5">
      <c r="A39" s="100"/>
      <c r="B39" s="100" t="s">
        <v>17</v>
      </c>
      <c r="C39" s="79"/>
      <c r="D39" s="37">
        <v>1866</v>
      </c>
      <c r="E39" s="38">
        <f>SUM(F39:G39)</f>
        <v>4299</v>
      </c>
      <c r="F39" s="38">
        <v>2153</v>
      </c>
      <c r="G39" s="38">
        <v>2146</v>
      </c>
      <c r="H39" s="62">
        <f t="shared" si="10"/>
        <v>2.3038585209003215</v>
      </c>
      <c r="I39" s="103">
        <v>4243</v>
      </c>
      <c r="J39" s="38">
        <f>E39-I39</f>
        <v>56</v>
      </c>
      <c r="K39" s="62">
        <f t="shared" si="11"/>
        <v>1.3198208814518029</v>
      </c>
      <c r="L39" s="38">
        <f>E39/0.378</f>
        <v>11373.015873015873</v>
      </c>
    </row>
    <row r="40" spans="1:12" ht="13.5" customHeight="1">
      <c r="A40" s="100"/>
      <c r="B40" s="100" t="s">
        <v>18</v>
      </c>
      <c r="C40" s="79"/>
      <c r="D40" s="37" t="s">
        <v>344</v>
      </c>
      <c r="E40" s="38" t="s">
        <v>344</v>
      </c>
      <c r="F40" s="38" t="s">
        <v>344</v>
      </c>
      <c r="G40" s="38" t="s">
        <v>344</v>
      </c>
      <c r="H40" s="38" t="s">
        <v>344</v>
      </c>
      <c r="I40" s="103"/>
      <c r="J40" s="38" t="s">
        <v>344</v>
      </c>
      <c r="K40" s="38" t="s">
        <v>344</v>
      </c>
      <c r="L40" s="38" t="s">
        <v>344</v>
      </c>
    </row>
    <row r="41" spans="1:12" ht="13.5">
      <c r="A41" s="100"/>
      <c r="B41" s="100" t="s">
        <v>19</v>
      </c>
      <c r="C41" s="79"/>
      <c r="D41" s="37" t="s">
        <v>344</v>
      </c>
      <c r="E41" s="38" t="s">
        <v>344</v>
      </c>
      <c r="F41" s="38" t="s">
        <v>344</v>
      </c>
      <c r="G41" s="38" t="s">
        <v>344</v>
      </c>
      <c r="H41" s="38" t="s">
        <v>344</v>
      </c>
      <c r="I41" s="103"/>
      <c r="J41" s="38" t="s">
        <v>344</v>
      </c>
      <c r="K41" s="38" t="s">
        <v>344</v>
      </c>
      <c r="L41" s="38" t="s">
        <v>344</v>
      </c>
    </row>
    <row r="42" spans="1:12" ht="6" customHeight="1">
      <c r="A42" s="100"/>
      <c r="B42" s="100"/>
      <c r="C42" s="79"/>
      <c r="D42" s="37"/>
      <c r="E42" s="38"/>
      <c r="F42" s="38"/>
      <c r="G42" s="38"/>
      <c r="H42" s="62"/>
      <c r="I42" s="103"/>
      <c r="J42" s="38"/>
      <c r="K42" s="62"/>
      <c r="L42" s="38"/>
    </row>
    <row r="43" spans="1:12" ht="13.5">
      <c r="A43" s="277" t="s">
        <v>33</v>
      </c>
      <c r="B43" s="277"/>
      <c r="C43" s="265"/>
      <c r="D43" s="9">
        <f>SUM(D44:D49)</f>
        <v>5726</v>
      </c>
      <c r="E43" s="4">
        <f>SUM(E44:E49)</f>
        <v>13419</v>
      </c>
      <c r="F43" s="4">
        <f>SUM(F44:F49)</f>
        <v>6777</v>
      </c>
      <c r="G43" s="4">
        <f>SUM(G44:G49)</f>
        <v>6642</v>
      </c>
      <c r="H43" s="22">
        <f aca="true" t="shared" si="12" ref="H43:H49">E43/D43</f>
        <v>2.343520782396088</v>
      </c>
      <c r="I43" s="19"/>
      <c r="J43" s="4">
        <f>SUM(J44:J49)</f>
        <v>38</v>
      </c>
      <c r="K43" s="22">
        <f aca="true" t="shared" si="13" ref="K43:K49">J43/(E43-J43)*100</f>
        <v>0.28398475450265304</v>
      </c>
      <c r="L43" s="4">
        <f>E43/1.465</f>
        <v>9159.726962457338</v>
      </c>
    </row>
    <row r="44" spans="1:12" ht="13.5">
      <c r="A44" s="100"/>
      <c r="B44" s="100" t="s">
        <v>13</v>
      </c>
      <c r="C44" s="79"/>
      <c r="D44" s="37">
        <v>1011</v>
      </c>
      <c r="E44" s="38">
        <f aca="true" t="shared" si="14" ref="E44:E49">SUM(F44:G44)</f>
        <v>2424</v>
      </c>
      <c r="F44" s="38">
        <v>1290</v>
      </c>
      <c r="G44" s="38">
        <v>1134</v>
      </c>
      <c r="H44" s="62">
        <f t="shared" si="12"/>
        <v>2.397626112759644</v>
      </c>
      <c r="I44" s="103">
        <v>2413</v>
      </c>
      <c r="J44" s="38">
        <f aca="true" t="shared" si="15" ref="J44:J49">E44-I44</f>
        <v>11</v>
      </c>
      <c r="K44" s="62">
        <f t="shared" si="13"/>
        <v>0.45586406962287607</v>
      </c>
      <c r="L44" s="38">
        <f>E44/0.27</f>
        <v>8977.777777777777</v>
      </c>
    </row>
    <row r="45" spans="1:12" ht="13.5" customHeight="1">
      <c r="A45" s="100"/>
      <c r="B45" s="100" t="s">
        <v>14</v>
      </c>
      <c r="C45" s="79"/>
      <c r="D45" s="37">
        <v>782</v>
      </c>
      <c r="E45" s="38">
        <f t="shared" si="14"/>
        <v>1872</v>
      </c>
      <c r="F45" s="38">
        <v>955</v>
      </c>
      <c r="G45" s="38">
        <v>917</v>
      </c>
      <c r="H45" s="62">
        <f t="shared" si="12"/>
        <v>2.39386189258312</v>
      </c>
      <c r="I45" s="103">
        <v>1877</v>
      </c>
      <c r="J45" s="38">
        <f t="shared" si="15"/>
        <v>-5</v>
      </c>
      <c r="K45" s="62">
        <f t="shared" si="13"/>
        <v>-0.26638252530633993</v>
      </c>
      <c r="L45" s="38">
        <f>E45/0.285</f>
        <v>6568.421052631579</v>
      </c>
    </row>
    <row r="46" spans="1:12" ht="13.5">
      <c r="A46" s="100"/>
      <c r="B46" s="100" t="s">
        <v>15</v>
      </c>
      <c r="C46" s="79"/>
      <c r="D46" s="37">
        <v>348</v>
      </c>
      <c r="E46" s="38">
        <f t="shared" si="14"/>
        <v>878</v>
      </c>
      <c r="F46" s="38">
        <v>438</v>
      </c>
      <c r="G46" s="38">
        <v>440</v>
      </c>
      <c r="H46" s="62">
        <f t="shared" si="12"/>
        <v>2.5229885057471266</v>
      </c>
      <c r="I46" s="103">
        <v>841</v>
      </c>
      <c r="J46" s="38">
        <f t="shared" si="15"/>
        <v>37</v>
      </c>
      <c r="K46" s="62">
        <f t="shared" si="13"/>
        <v>4.399524375743162</v>
      </c>
      <c r="L46" s="38">
        <f>E46/0.171</f>
        <v>5134.502923976608</v>
      </c>
    </row>
    <row r="47" spans="1:12" ht="13.5">
      <c r="A47" s="100"/>
      <c r="B47" s="100" t="s">
        <v>16</v>
      </c>
      <c r="C47" s="79"/>
      <c r="D47" s="37">
        <v>868</v>
      </c>
      <c r="E47" s="38">
        <f t="shared" si="14"/>
        <v>2008</v>
      </c>
      <c r="F47" s="38">
        <v>1038</v>
      </c>
      <c r="G47" s="38">
        <v>970</v>
      </c>
      <c r="H47" s="62">
        <f t="shared" si="12"/>
        <v>2.313364055299539</v>
      </c>
      <c r="I47" s="103">
        <v>1920</v>
      </c>
      <c r="J47" s="38">
        <f t="shared" si="15"/>
        <v>88</v>
      </c>
      <c r="K47" s="62">
        <f t="shared" si="13"/>
        <v>4.583333333333333</v>
      </c>
      <c r="L47" s="38">
        <f>E47/0.328</f>
        <v>6121.951219512195</v>
      </c>
    </row>
    <row r="48" spans="1:12" ht="13.5">
      <c r="A48" s="100"/>
      <c r="B48" s="100" t="s">
        <v>17</v>
      </c>
      <c r="C48" s="79"/>
      <c r="D48" s="37">
        <v>1394</v>
      </c>
      <c r="E48" s="38">
        <f t="shared" si="14"/>
        <v>2716</v>
      </c>
      <c r="F48" s="38">
        <v>1301</v>
      </c>
      <c r="G48" s="38">
        <v>1415</v>
      </c>
      <c r="H48" s="62">
        <f t="shared" si="12"/>
        <v>1.9483500717360114</v>
      </c>
      <c r="I48" s="103">
        <v>2789</v>
      </c>
      <c r="J48" s="38">
        <f t="shared" si="15"/>
        <v>-73</v>
      </c>
      <c r="K48" s="62">
        <f t="shared" si="13"/>
        <v>-2.6174256005736822</v>
      </c>
      <c r="L48" s="38">
        <f>E48/0.145</f>
        <v>18731.034482758623</v>
      </c>
    </row>
    <row r="49" spans="1:12" ht="13.5">
      <c r="A49" s="100"/>
      <c r="B49" s="100" t="s">
        <v>18</v>
      </c>
      <c r="C49" s="79"/>
      <c r="D49" s="37">
        <v>1323</v>
      </c>
      <c r="E49" s="38">
        <f t="shared" si="14"/>
        <v>3521</v>
      </c>
      <c r="F49" s="38">
        <v>1755</v>
      </c>
      <c r="G49" s="38">
        <v>1766</v>
      </c>
      <c r="H49" s="62">
        <f t="shared" si="12"/>
        <v>2.6613756613756614</v>
      </c>
      <c r="I49" s="103">
        <v>3541</v>
      </c>
      <c r="J49" s="38">
        <f t="shared" si="15"/>
        <v>-20</v>
      </c>
      <c r="K49" s="62">
        <f t="shared" si="13"/>
        <v>-0.5648121999435188</v>
      </c>
      <c r="L49" s="38">
        <f>E49/0.266</f>
        <v>13236.842105263157</v>
      </c>
    </row>
    <row r="50" spans="1:12" ht="6" customHeight="1">
      <c r="A50" s="100"/>
      <c r="B50" s="100"/>
      <c r="C50" s="79"/>
      <c r="D50" s="37"/>
      <c r="E50" s="38"/>
      <c r="F50" s="38"/>
      <c r="G50" s="38"/>
      <c r="H50" s="62"/>
      <c r="I50" s="103"/>
      <c r="J50" s="38"/>
      <c r="K50" s="62"/>
      <c r="L50" s="38"/>
    </row>
    <row r="51" spans="1:12" ht="13.5">
      <c r="A51" s="277" t="s">
        <v>34</v>
      </c>
      <c r="B51" s="277"/>
      <c r="C51" s="265"/>
      <c r="D51" s="9">
        <f>SUM(D52:D58)</f>
        <v>3077</v>
      </c>
      <c r="E51" s="4">
        <f>SUM(E52:E58)</f>
        <v>7925</v>
      </c>
      <c r="F51" s="4">
        <f>SUM(F52:F58)</f>
        <v>3997</v>
      </c>
      <c r="G51" s="4">
        <f>SUM(G52:G58)</f>
        <v>3928</v>
      </c>
      <c r="H51" s="22">
        <f aca="true" t="shared" si="16" ref="H51:H58">E51/D51</f>
        <v>2.5755606109847253</v>
      </c>
      <c r="I51" s="19"/>
      <c r="J51" s="4">
        <f>SUM(J52:J58)</f>
        <v>53</v>
      </c>
      <c r="K51" s="22">
        <f aca="true" t="shared" si="17" ref="K51:K58">J51/(E51-J51)*100</f>
        <v>0.6732723577235773</v>
      </c>
      <c r="L51" s="4">
        <f>E51/2.427</f>
        <v>3265.348166460651</v>
      </c>
    </row>
    <row r="52" spans="1:12" ht="13.5" customHeight="1">
      <c r="A52" s="100"/>
      <c r="B52" s="100" t="s">
        <v>13</v>
      </c>
      <c r="C52" s="79"/>
      <c r="D52" s="37">
        <v>420</v>
      </c>
      <c r="E52" s="38">
        <f aca="true" t="shared" si="18" ref="E52:E58">SUM(F52:G52)</f>
        <v>1041</v>
      </c>
      <c r="F52" s="38">
        <v>539</v>
      </c>
      <c r="G52" s="38">
        <v>502</v>
      </c>
      <c r="H52" s="62">
        <f t="shared" si="16"/>
        <v>2.4785714285714286</v>
      </c>
      <c r="I52" s="103">
        <v>1046</v>
      </c>
      <c r="J52" s="38">
        <f aca="true" t="shared" si="19" ref="J52:J58">E52-I52</f>
        <v>-5</v>
      </c>
      <c r="K52" s="62">
        <f t="shared" si="17"/>
        <v>-0.47801147227533464</v>
      </c>
      <c r="L52" s="38">
        <f>E52/0.358</f>
        <v>2907.8212290502793</v>
      </c>
    </row>
    <row r="53" spans="1:12" ht="13.5">
      <c r="A53" s="100"/>
      <c r="B53" s="100" t="s">
        <v>14</v>
      </c>
      <c r="C53" s="79"/>
      <c r="D53" s="37">
        <v>775</v>
      </c>
      <c r="E53" s="38">
        <f t="shared" si="18"/>
        <v>2054</v>
      </c>
      <c r="F53" s="38">
        <v>1021</v>
      </c>
      <c r="G53" s="38">
        <v>1033</v>
      </c>
      <c r="H53" s="62">
        <f t="shared" si="16"/>
        <v>2.6503225806451614</v>
      </c>
      <c r="I53" s="103">
        <v>2045</v>
      </c>
      <c r="J53" s="38">
        <f t="shared" si="19"/>
        <v>9</v>
      </c>
      <c r="K53" s="62">
        <f t="shared" si="17"/>
        <v>0.4400977995110024</v>
      </c>
      <c r="L53" s="38">
        <f>E53/0.343</f>
        <v>5988.338192419825</v>
      </c>
    </row>
    <row r="54" spans="1:12" ht="13.5">
      <c r="A54" s="100"/>
      <c r="B54" s="100" t="s">
        <v>15</v>
      </c>
      <c r="C54" s="79"/>
      <c r="D54" s="37">
        <v>328</v>
      </c>
      <c r="E54" s="38">
        <f t="shared" si="18"/>
        <v>867</v>
      </c>
      <c r="F54" s="38">
        <v>454</v>
      </c>
      <c r="G54" s="38">
        <v>413</v>
      </c>
      <c r="H54" s="62">
        <f t="shared" si="16"/>
        <v>2.643292682926829</v>
      </c>
      <c r="I54" s="103">
        <v>825</v>
      </c>
      <c r="J54" s="38">
        <f t="shared" si="19"/>
        <v>42</v>
      </c>
      <c r="K54" s="62">
        <f t="shared" si="17"/>
        <v>5.090909090909091</v>
      </c>
      <c r="L54" s="38">
        <f>E54/0.336</f>
        <v>2580.3571428571427</v>
      </c>
    </row>
    <row r="55" spans="1:12" ht="13.5">
      <c r="A55" s="100"/>
      <c r="B55" s="100" t="s">
        <v>16</v>
      </c>
      <c r="C55" s="79"/>
      <c r="D55" s="37">
        <v>212</v>
      </c>
      <c r="E55" s="38">
        <f t="shared" si="18"/>
        <v>556</v>
      </c>
      <c r="F55" s="38">
        <v>284</v>
      </c>
      <c r="G55" s="38">
        <v>272</v>
      </c>
      <c r="H55" s="62">
        <f t="shared" si="16"/>
        <v>2.6226415094339623</v>
      </c>
      <c r="I55" s="103">
        <v>553</v>
      </c>
      <c r="J55" s="38">
        <f t="shared" si="19"/>
        <v>3</v>
      </c>
      <c r="K55" s="62">
        <f t="shared" si="17"/>
        <v>0.5424954792043399</v>
      </c>
      <c r="L55" s="38">
        <f>E55/0.445</f>
        <v>1249.438202247191</v>
      </c>
    </row>
    <row r="56" spans="1:12" ht="13.5">
      <c r="A56" s="100"/>
      <c r="B56" s="100" t="s">
        <v>17</v>
      </c>
      <c r="C56" s="79"/>
      <c r="D56" s="37">
        <v>914</v>
      </c>
      <c r="E56" s="38">
        <f t="shared" si="18"/>
        <v>2302</v>
      </c>
      <c r="F56" s="38">
        <v>1151</v>
      </c>
      <c r="G56" s="38">
        <v>1151</v>
      </c>
      <c r="H56" s="62">
        <f t="shared" si="16"/>
        <v>2.5185995623632387</v>
      </c>
      <c r="I56" s="103">
        <v>2297</v>
      </c>
      <c r="J56" s="38">
        <f t="shared" si="19"/>
        <v>5</v>
      </c>
      <c r="K56" s="62">
        <f t="shared" si="17"/>
        <v>0.21767522855899</v>
      </c>
      <c r="L56" s="38">
        <f>E56/0.365</f>
        <v>6306.8493150684935</v>
      </c>
    </row>
    <row r="57" spans="1:12" ht="13.5">
      <c r="A57" s="100"/>
      <c r="B57" s="100" t="s">
        <v>18</v>
      </c>
      <c r="C57" s="79"/>
      <c r="D57" s="37">
        <v>399</v>
      </c>
      <c r="E57" s="38">
        <f t="shared" si="18"/>
        <v>1051</v>
      </c>
      <c r="F57" s="38">
        <v>533</v>
      </c>
      <c r="G57" s="38">
        <v>518</v>
      </c>
      <c r="H57" s="62">
        <f t="shared" si="16"/>
        <v>2.6340852130325816</v>
      </c>
      <c r="I57" s="103">
        <v>1061</v>
      </c>
      <c r="J57" s="38">
        <f t="shared" si="19"/>
        <v>-10</v>
      </c>
      <c r="K57" s="62">
        <f t="shared" si="17"/>
        <v>-0.9425070688030159</v>
      </c>
      <c r="L57" s="38">
        <f>E57/0.397</f>
        <v>2647.3551637279597</v>
      </c>
    </row>
    <row r="58" spans="1:12" ht="13.5">
      <c r="A58" s="100"/>
      <c r="B58" s="100" t="s">
        <v>19</v>
      </c>
      <c r="C58" s="79"/>
      <c r="D58" s="37">
        <v>29</v>
      </c>
      <c r="E58" s="38">
        <f t="shared" si="18"/>
        <v>54</v>
      </c>
      <c r="F58" s="38">
        <v>15</v>
      </c>
      <c r="G58" s="38">
        <v>39</v>
      </c>
      <c r="H58" s="62">
        <f t="shared" si="16"/>
        <v>1.8620689655172413</v>
      </c>
      <c r="I58" s="103">
        <v>45</v>
      </c>
      <c r="J58" s="38">
        <f t="shared" si="19"/>
        <v>9</v>
      </c>
      <c r="K58" s="62">
        <f t="shared" si="17"/>
        <v>20</v>
      </c>
      <c r="L58" s="38">
        <f>E58/0.183</f>
        <v>295.08196721311475</v>
      </c>
    </row>
    <row r="59" spans="1:12" ht="6" customHeight="1">
      <c r="A59" s="119"/>
      <c r="B59" s="119"/>
      <c r="C59" s="52"/>
      <c r="D59" s="95"/>
      <c r="E59" s="96"/>
      <c r="F59" s="96"/>
      <c r="G59" s="96"/>
      <c r="H59" s="96"/>
      <c r="I59" s="126"/>
      <c r="J59" s="96"/>
      <c r="K59" s="96"/>
      <c r="L59" s="96"/>
    </row>
    <row r="60" spans="1:12" ht="13.5">
      <c r="A60" s="43"/>
      <c r="B60" s="43"/>
      <c r="C60" s="43"/>
      <c r="D60" s="43"/>
      <c r="E60" s="43"/>
      <c r="F60" s="43"/>
      <c r="G60" s="43"/>
      <c r="H60" s="43"/>
      <c r="I60" s="125"/>
      <c r="J60" s="43"/>
      <c r="K60" s="43"/>
      <c r="L60" s="40"/>
    </row>
    <row r="64" ht="7.5" customHeight="1"/>
    <row r="69" ht="22.5" customHeight="1"/>
    <row r="73" ht="6" customHeight="1"/>
    <row r="74" ht="13.5" customHeight="1"/>
    <row r="81" ht="6" customHeight="1"/>
    <row r="82" ht="13.5" customHeight="1"/>
    <row r="88" ht="6" customHeight="1"/>
    <row r="89" ht="13.5" customHeight="1"/>
    <row r="98" ht="6" customHeight="1"/>
    <row r="99" ht="13.5" customHeight="1"/>
    <row r="107" ht="6" customHeight="1"/>
    <row r="108" ht="13.5" customHeight="1"/>
    <row r="115" ht="6" customHeight="1"/>
    <row r="116" ht="13.5" customHeight="1"/>
    <row r="124" ht="6" customHeight="1"/>
    <row r="125" ht="13.5" customHeight="1"/>
    <row r="126" ht="6" customHeight="1"/>
  </sheetData>
  <mergeCells count="12">
    <mergeCell ref="A4:C5"/>
    <mergeCell ref="D4:D5"/>
    <mergeCell ref="E4:G4"/>
    <mergeCell ref="J4:K4"/>
    <mergeCell ref="A6:B6"/>
    <mergeCell ref="A7:B7"/>
    <mergeCell ref="A15:B15"/>
    <mergeCell ref="A24:B24"/>
    <mergeCell ref="A34:B34"/>
    <mergeCell ref="A43:B43"/>
    <mergeCell ref="A51:B51"/>
    <mergeCell ref="A22:B22"/>
  </mergeCells>
  <printOptions/>
  <pageMargins left="0.7874015748031497" right="0.7874015748031497" top="0.7086614173228347" bottom="0.5905511811023623" header="0.5118110236220472" footer="0.5118110236220472"/>
  <pageSetup horizontalDpi="600" verticalDpi="600" orientation="portrait" paperSize="9" r:id="rId1"/>
  <headerFooter alignWithMargins="0">
    <oddHeader>&amp;R&amp;8人　口　　　　33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K3" sqref="K3"/>
    </sheetView>
  </sheetViews>
  <sheetFormatPr defaultColWidth="9.00390625" defaultRowHeight="13.5"/>
  <cols>
    <col min="1" max="1" width="8.125" style="2" customWidth="1"/>
    <col min="2" max="2" width="2.50390625" style="2" customWidth="1"/>
    <col min="3" max="5" width="10.00390625" style="2" customWidth="1"/>
    <col min="6" max="6" width="2.50390625" style="2" customWidth="1"/>
    <col min="7" max="7" width="5.625" style="2" customWidth="1"/>
    <col min="8" max="8" width="3.125" style="2" customWidth="1"/>
    <col min="9" max="11" width="10.00390625" style="2" customWidth="1"/>
    <col min="12" max="16384" width="9.00390625" style="2" customWidth="1"/>
  </cols>
  <sheetData>
    <row r="1" spans="1:11" ht="26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2.5" customHeight="1">
      <c r="A2" s="33" t="s">
        <v>341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3.5">
      <c r="A3" s="69"/>
      <c r="B3" s="69"/>
      <c r="C3" s="69"/>
      <c r="D3" s="69"/>
      <c r="E3" s="69"/>
      <c r="F3" s="69"/>
      <c r="G3" s="69"/>
      <c r="H3" s="69"/>
      <c r="I3" s="69"/>
      <c r="J3" s="42"/>
      <c r="K3" s="203" t="s">
        <v>260</v>
      </c>
    </row>
    <row r="4" spans="1:11" ht="22.5" customHeight="1">
      <c r="A4" s="283" t="s">
        <v>183</v>
      </c>
      <c r="B4" s="284"/>
      <c r="C4" s="63" t="s">
        <v>117</v>
      </c>
      <c r="D4" s="63" t="s">
        <v>9</v>
      </c>
      <c r="E4" s="60" t="s">
        <v>10</v>
      </c>
      <c r="F4" s="282" t="s">
        <v>183</v>
      </c>
      <c r="G4" s="283"/>
      <c r="H4" s="284"/>
      <c r="I4" s="63" t="s">
        <v>117</v>
      </c>
      <c r="J4" s="63" t="s">
        <v>9</v>
      </c>
      <c r="K4" s="60" t="s">
        <v>10</v>
      </c>
    </row>
    <row r="5" spans="1:11" ht="6" customHeight="1">
      <c r="A5" s="127"/>
      <c r="B5" s="51"/>
      <c r="C5" s="127"/>
      <c r="D5" s="127"/>
      <c r="E5" s="127"/>
      <c r="F5" s="280"/>
      <c r="G5" s="281"/>
      <c r="H5" s="51"/>
      <c r="I5" s="127"/>
      <c r="J5" s="127"/>
      <c r="K5" s="127"/>
    </row>
    <row r="6" spans="1:11" ht="13.5">
      <c r="A6" s="277" t="s">
        <v>115</v>
      </c>
      <c r="B6" s="252"/>
      <c r="C6" s="6">
        <f>SUM(D6:E6)</f>
        <v>173692</v>
      </c>
      <c r="D6" s="6">
        <f>SUM(D14,D22,D30,D38,D46,J6,J14,J22,J30,J38,J46,'1 人口 4 (2)'!D6,'1 人口 4 (2)'!D14,'1 人口 4 (2)'!D22,'1 人口 4 (2)'!D30,'1 人口 4 (2)'!D38,'1 人口 4 (2)'!D46,'1 人口 4 (2)'!J6,'1 人口 4 (2)'!J14,'1 人口 4 (2)'!J22,'1 人口 4 (2)'!J30,'1 人口 4 (2)'!J33)</f>
        <v>86925</v>
      </c>
      <c r="E6" s="6">
        <f>SUM(E14,E22,E30,E38,E46,K6,K14,K22,K30,K38,K46,'1 人口 4 (2)'!E6,'1 人口 4 (2)'!E14,'1 人口 4 (2)'!E22,'1 人口 4 (2)'!E30,'1 人口 4 (2)'!E38,'1 人口 4 (2)'!E46,'1 人口 4 (2)'!K6,'1 人口 4 (2)'!K14,'1 人口 4 (2)'!K22,'1 人口 4 (2)'!K30,'1 人口 4 (2)'!K33)</f>
        <v>86767</v>
      </c>
      <c r="F6" s="249" t="s">
        <v>296</v>
      </c>
      <c r="G6" s="250"/>
      <c r="H6" s="170" t="s">
        <v>118</v>
      </c>
      <c r="I6" s="6">
        <f>SUM(I8:I12)</f>
        <v>12409</v>
      </c>
      <c r="J6" s="1">
        <f>SUM(J8:J12)</f>
        <v>6633</v>
      </c>
      <c r="K6" s="1">
        <f>SUM(K8:K12)</f>
        <v>5776</v>
      </c>
    </row>
    <row r="7" spans="1:11" ht="3.75" customHeight="1">
      <c r="A7" s="100"/>
      <c r="B7" s="121"/>
      <c r="C7" s="49"/>
      <c r="D7" s="49"/>
      <c r="E7" s="49"/>
      <c r="F7" s="129"/>
      <c r="G7" s="127"/>
      <c r="H7" s="121"/>
      <c r="I7" s="49"/>
      <c r="J7" s="36"/>
      <c r="K7" s="36"/>
    </row>
    <row r="8" spans="1:11" ht="13.5">
      <c r="A8" s="100"/>
      <c r="B8" s="121"/>
      <c r="C8" s="49"/>
      <c r="D8" s="49"/>
      <c r="E8" s="49"/>
      <c r="F8" s="280">
        <v>25</v>
      </c>
      <c r="G8" s="281"/>
      <c r="H8" s="121"/>
      <c r="I8" s="49">
        <f>J8+K8</f>
        <v>2399</v>
      </c>
      <c r="J8" s="128">
        <v>1252</v>
      </c>
      <c r="K8" s="128">
        <v>1147</v>
      </c>
    </row>
    <row r="9" spans="1:11" ht="13.5">
      <c r="A9" s="100"/>
      <c r="B9" s="121"/>
      <c r="C9" s="49"/>
      <c r="D9" s="49"/>
      <c r="E9" s="49"/>
      <c r="F9" s="280">
        <v>26</v>
      </c>
      <c r="G9" s="281"/>
      <c r="H9" s="121"/>
      <c r="I9" s="49">
        <f>J9+K9</f>
        <v>2429</v>
      </c>
      <c r="J9" s="128">
        <v>1274</v>
      </c>
      <c r="K9" s="128">
        <v>1155</v>
      </c>
    </row>
    <row r="10" spans="1:11" ht="13.5">
      <c r="A10" s="100"/>
      <c r="B10" s="121"/>
      <c r="C10" s="49"/>
      <c r="D10" s="49"/>
      <c r="E10" s="49"/>
      <c r="F10" s="280">
        <v>27</v>
      </c>
      <c r="G10" s="281"/>
      <c r="H10" s="121"/>
      <c r="I10" s="49">
        <f>J10+K10</f>
        <v>2433</v>
      </c>
      <c r="J10" s="128">
        <v>1284</v>
      </c>
      <c r="K10" s="128">
        <v>1149</v>
      </c>
    </row>
    <row r="11" spans="1:11" ht="13.5">
      <c r="A11" s="100"/>
      <c r="B11" s="121"/>
      <c r="C11" s="49"/>
      <c r="D11" s="49"/>
      <c r="E11" s="49"/>
      <c r="F11" s="280">
        <v>28</v>
      </c>
      <c r="G11" s="281"/>
      <c r="H11" s="121"/>
      <c r="I11" s="49">
        <f>J11+K11</f>
        <v>2470</v>
      </c>
      <c r="J11" s="128">
        <v>1346</v>
      </c>
      <c r="K11" s="128">
        <v>1124</v>
      </c>
    </row>
    <row r="12" spans="1:11" ht="13.5">
      <c r="A12" s="100"/>
      <c r="B12" s="121"/>
      <c r="C12" s="49"/>
      <c r="D12" s="49"/>
      <c r="E12" s="49"/>
      <c r="F12" s="280">
        <v>29</v>
      </c>
      <c r="G12" s="281"/>
      <c r="H12" s="121"/>
      <c r="I12" s="49">
        <f>J12+K12</f>
        <v>2678</v>
      </c>
      <c r="J12" s="128">
        <v>1477</v>
      </c>
      <c r="K12" s="128">
        <v>1201</v>
      </c>
    </row>
    <row r="13" spans="1:11" ht="6" customHeight="1">
      <c r="A13" s="100"/>
      <c r="B13" s="121"/>
      <c r="C13" s="49"/>
      <c r="D13" s="49"/>
      <c r="E13" s="49"/>
      <c r="F13" s="129"/>
      <c r="G13" s="127"/>
      <c r="H13" s="121"/>
      <c r="I13" s="49"/>
      <c r="J13" s="49"/>
      <c r="K13" s="49"/>
    </row>
    <row r="14" spans="1:11" ht="13.5">
      <c r="A14" s="3" t="s">
        <v>293</v>
      </c>
      <c r="B14" s="170" t="s">
        <v>118</v>
      </c>
      <c r="C14" s="6">
        <f>SUM(C16:C20)</f>
        <v>7560</v>
      </c>
      <c r="D14" s="6">
        <f>SUM(D16:D20)</f>
        <v>3840</v>
      </c>
      <c r="E14" s="6">
        <f>SUM(E16:E20)</f>
        <v>3720</v>
      </c>
      <c r="F14" s="249" t="s">
        <v>288</v>
      </c>
      <c r="G14" s="250"/>
      <c r="H14" s="130"/>
      <c r="I14" s="6">
        <f>SUM(I16:I20)</f>
        <v>14031</v>
      </c>
      <c r="J14" s="6">
        <f>SUM(J16:J20)</f>
        <v>7495</v>
      </c>
      <c r="K14" s="6">
        <f>SUM(K16:K20)</f>
        <v>6536</v>
      </c>
    </row>
    <row r="15" spans="1:11" ht="3.75" customHeight="1">
      <c r="A15" s="127"/>
      <c r="B15" s="121"/>
      <c r="C15" s="49"/>
      <c r="D15" s="49"/>
      <c r="E15" s="49"/>
      <c r="F15" s="129"/>
      <c r="G15" s="127"/>
      <c r="H15" s="121"/>
      <c r="I15" s="49"/>
      <c r="J15" s="49"/>
      <c r="K15" s="49"/>
    </row>
    <row r="16" spans="1:11" ht="13.5">
      <c r="A16" s="127">
        <v>0</v>
      </c>
      <c r="B16" s="121"/>
      <c r="C16" s="49">
        <f>D16+E16</f>
        <v>1516</v>
      </c>
      <c r="D16" s="128">
        <v>759</v>
      </c>
      <c r="E16" s="128">
        <v>757</v>
      </c>
      <c r="F16" s="280">
        <v>30</v>
      </c>
      <c r="G16" s="281"/>
      <c r="H16" s="121"/>
      <c r="I16" s="49">
        <f>J16+K16</f>
        <v>2684</v>
      </c>
      <c r="J16" s="128">
        <v>1430</v>
      </c>
      <c r="K16" s="128">
        <v>1254</v>
      </c>
    </row>
    <row r="17" spans="1:11" ht="13.5">
      <c r="A17" s="127">
        <v>1</v>
      </c>
      <c r="B17" s="121"/>
      <c r="C17" s="49">
        <f>D17+E17</f>
        <v>1523</v>
      </c>
      <c r="D17" s="128">
        <v>750</v>
      </c>
      <c r="E17" s="128">
        <v>773</v>
      </c>
      <c r="F17" s="280">
        <v>31</v>
      </c>
      <c r="G17" s="281"/>
      <c r="H17" s="121"/>
      <c r="I17" s="49">
        <f>J17+K17</f>
        <v>2668</v>
      </c>
      <c r="J17" s="128">
        <v>1399</v>
      </c>
      <c r="K17" s="128">
        <v>1269</v>
      </c>
    </row>
    <row r="18" spans="1:11" ht="13.5">
      <c r="A18" s="127">
        <v>2</v>
      </c>
      <c r="B18" s="121"/>
      <c r="C18" s="49">
        <f>D18+E18</f>
        <v>1559</v>
      </c>
      <c r="D18" s="128">
        <v>792</v>
      </c>
      <c r="E18" s="128">
        <v>767</v>
      </c>
      <c r="F18" s="280">
        <v>32</v>
      </c>
      <c r="G18" s="281"/>
      <c r="H18" s="121"/>
      <c r="I18" s="49">
        <f>J18+K18</f>
        <v>2804</v>
      </c>
      <c r="J18" s="128">
        <v>1508</v>
      </c>
      <c r="K18" s="128">
        <v>1296</v>
      </c>
    </row>
    <row r="19" spans="1:11" ht="13.5">
      <c r="A19" s="127">
        <v>3</v>
      </c>
      <c r="B19" s="121"/>
      <c r="C19" s="49">
        <f>D19+E19</f>
        <v>1410</v>
      </c>
      <c r="D19" s="128">
        <v>743</v>
      </c>
      <c r="E19" s="128">
        <v>667</v>
      </c>
      <c r="F19" s="280">
        <v>33</v>
      </c>
      <c r="G19" s="281"/>
      <c r="H19" s="121"/>
      <c r="I19" s="49">
        <f>J19+K19</f>
        <v>2885</v>
      </c>
      <c r="J19" s="128">
        <v>1593</v>
      </c>
      <c r="K19" s="128">
        <v>1292</v>
      </c>
    </row>
    <row r="20" spans="1:11" ht="13.5">
      <c r="A20" s="127">
        <v>4</v>
      </c>
      <c r="B20" s="121"/>
      <c r="C20" s="49">
        <f>D20+E20</f>
        <v>1552</v>
      </c>
      <c r="D20" s="128">
        <v>796</v>
      </c>
      <c r="E20" s="128">
        <v>756</v>
      </c>
      <c r="F20" s="280">
        <v>34</v>
      </c>
      <c r="G20" s="281"/>
      <c r="H20" s="121"/>
      <c r="I20" s="49">
        <f>J20+K20</f>
        <v>2990</v>
      </c>
      <c r="J20" s="128">
        <v>1565</v>
      </c>
      <c r="K20" s="128">
        <v>1425</v>
      </c>
    </row>
    <row r="21" spans="1:11" ht="6" customHeight="1">
      <c r="A21" s="127"/>
      <c r="B21" s="121"/>
      <c r="C21" s="49"/>
      <c r="D21" s="49"/>
      <c r="E21" s="49"/>
      <c r="F21" s="129"/>
      <c r="G21" s="127"/>
      <c r="H21" s="121"/>
      <c r="I21" s="49"/>
      <c r="J21" s="49"/>
      <c r="K21" s="49"/>
    </row>
    <row r="22" spans="1:11" ht="13.5">
      <c r="A22" s="3" t="s">
        <v>289</v>
      </c>
      <c r="B22" s="130"/>
      <c r="C22" s="6">
        <f>SUM(C24:C28)</f>
        <v>7571</v>
      </c>
      <c r="D22" s="6">
        <f>SUM(D24:D28)</f>
        <v>3887</v>
      </c>
      <c r="E22" s="6">
        <f>SUM(E24:E28)</f>
        <v>3684</v>
      </c>
      <c r="F22" s="249" t="s">
        <v>290</v>
      </c>
      <c r="G22" s="250"/>
      <c r="H22" s="130"/>
      <c r="I22" s="6">
        <f>SUM(I24:I28)</f>
        <v>15657</v>
      </c>
      <c r="J22" s="6">
        <f>SUM(J24:J28)</f>
        <v>8302</v>
      </c>
      <c r="K22" s="6">
        <f>SUM(K24:K28)</f>
        <v>7355</v>
      </c>
    </row>
    <row r="23" spans="1:11" ht="3.75" customHeight="1">
      <c r="A23" s="127"/>
      <c r="B23" s="121"/>
      <c r="C23" s="49"/>
      <c r="D23" s="49"/>
      <c r="E23" s="49"/>
      <c r="F23" s="129"/>
      <c r="G23" s="127"/>
      <c r="H23" s="121"/>
      <c r="I23" s="49"/>
      <c r="J23" s="49"/>
      <c r="K23" s="49"/>
    </row>
    <row r="24" spans="1:11" ht="13.5">
      <c r="A24" s="127">
        <v>5</v>
      </c>
      <c r="B24" s="121"/>
      <c r="C24" s="49">
        <f>D24+E24</f>
        <v>1497</v>
      </c>
      <c r="D24" s="128">
        <v>784</v>
      </c>
      <c r="E24" s="128">
        <v>713</v>
      </c>
      <c r="F24" s="280">
        <v>35</v>
      </c>
      <c r="G24" s="281"/>
      <c r="H24" s="121"/>
      <c r="I24" s="49">
        <f>J24+K24</f>
        <v>3274</v>
      </c>
      <c r="J24" s="128">
        <v>1715</v>
      </c>
      <c r="K24" s="128">
        <v>1559</v>
      </c>
    </row>
    <row r="25" spans="1:11" ht="13.5">
      <c r="A25" s="127">
        <v>6</v>
      </c>
      <c r="B25" s="121"/>
      <c r="C25" s="49">
        <f>D25+E25</f>
        <v>1577</v>
      </c>
      <c r="D25" s="128">
        <v>788</v>
      </c>
      <c r="E25" s="128">
        <v>789</v>
      </c>
      <c r="F25" s="280">
        <v>36</v>
      </c>
      <c r="G25" s="281"/>
      <c r="H25" s="121"/>
      <c r="I25" s="49">
        <f>J25+K25</f>
        <v>3171</v>
      </c>
      <c r="J25" s="128">
        <v>1662</v>
      </c>
      <c r="K25" s="128">
        <v>1509</v>
      </c>
    </row>
    <row r="26" spans="1:11" ht="13.5">
      <c r="A26" s="127">
        <v>7</v>
      </c>
      <c r="B26" s="121"/>
      <c r="C26" s="49">
        <f>D26+E26</f>
        <v>1482</v>
      </c>
      <c r="D26" s="128">
        <v>769</v>
      </c>
      <c r="E26" s="128">
        <v>713</v>
      </c>
      <c r="F26" s="280">
        <v>37</v>
      </c>
      <c r="G26" s="281"/>
      <c r="H26" s="121"/>
      <c r="I26" s="49">
        <f>J26+K26</f>
        <v>3126</v>
      </c>
      <c r="J26" s="128">
        <v>1650</v>
      </c>
      <c r="K26" s="128">
        <v>1476</v>
      </c>
    </row>
    <row r="27" spans="1:11" ht="13.5">
      <c r="A27" s="127">
        <v>8</v>
      </c>
      <c r="B27" s="121"/>
      <c r="C27" s="49">
        <f>D27+E27</f>
        <v>1550</v>
      </c>
      <c r="D27" s="128">
        <v>784</v>
      </c>
      <c r="E27" s="128">
        <v>766</v>
      </c>
      <c r="F27" s="280">
        <v>38</v>
      </c>
      <c r="G27" s="281"/>
      <c r="H27" s="121"/>
      <c r="I27" s="49">
        <f>J27+K27</f>
        <v>3094</v>
      </c>
      <c r="J27" s="128">
        <v>1645</v>
      </c>
      <c r="K27" s="128">
        <v>1449</v>
      </c>
    </row>
    <row r="28" spans="1:11" ht="13.5">
      <c r="A28" s="127">
        <v>9</v>
      </c>
      <c r="B28" s="121"/>
      <c r="C28" s="49">
        <f>D28+E28</f>
        <v>1465</v>
      </c>
      <c r="D28" s="128">
        <v>762</v>
      </c>
      <c r="E28" s="128">
        <v>703</v>
      </c>
      <c r="F28" s="280">
        <v>39</v>
      </c>
      <c r="G28" s="281"/>
      <c r="H28" s="121"/>
      <c r="I28" s="49">
        <f>J28+K28</f>
        <v>2992</v>
      </c>
      <c r="J28" s="128">
        <v>1630</v>
      </c>
      <c r="K28" s="128">
        <v>1362</v>
      </c>
    </row>
    <row r="29" spans="1:11" ht="6" customHeight="1">
      <c r="A29" s="127"/>
      <c r="B29" s="121"/>
      <c r="C29" s="49"/>
      <c r="D29" s="49"/>
      <c r="E29" s="49"/>
      <c r="F29" s="129"/>
      <c r="G29" s="127"/>
      <c r="H29" s="121"/>
      <c r="I29" s="49"/>
      <c r="J29" s="49"/>
      <c r="K29" s="49"/>
    </row>
    <row r="30" spans="1:11" ht="13.5">
      <c r="A30" s="3" t="s">
        <v>291</v>
      </c>
      <c r="B30" s="130"/>
      <c r="C30" s="6">
        <f>SUM(C32:C36)</f>
        <v>7628</v>
      </c>
      <c r="D30" s="6">
        <f>SUM(D32:D36)</f>
        <v>3853</v>
      </c>
      <c r="E30" s="6">
        <f>SUM(E32:E36)</f>
        <v>3775</v>
      </c>
      <c r="F30" s="249" t="s">
        <v>292</v>
      </c>
      <c r="G30" s="250"/>
      <c r="H30" s="130"/>
      <c r="I30" s="6">
        <f>SUM(I32:I36)</f>
        <v>13193</v>
      </c>
      <c r="J30" s="6">
        <f>SUM(J32:J36)</f>
        <v>7142</v>
      </c>
      <c r="K30" s="6">
        <f>SUM(K32:K36)</f>
        <v>6051</v>
      </c>
    </row>
    <row r="31" spans="1:11" ht="3.75" customHeight="1">
      <c r="A31" s="127"/>
      <c r="B31" s="121"/>
      <c r="C31" s="49"/>
      <c r="D31" s="49"/>
      <c r="E31" s="49"/>
      <c r="F31" s="129"/>
      <c r="G31" s="127"/>
      <c r="H31" s="121"/>
      <c r="I31" s="49"/>
      <c r="J31" s="49"/>
      <c r="K31" s="49"/>
    </row>
    <row r="32" spans="1:11" ht="13.5">
      <c r="A32" s="127">
        <v>10</v>
      </c>
      <c r="B32" s="121"/>
      <c r="C32" s="49">
        <f>D32+E32</f>
        <v>1511</v>
      </c>
      <c r="D32" s="128">
        <v>778</v>
      </c>
      <c r="E32" s="128">
        <v>733</v>
      </c>
      <c r="F32" s="280">
        <v>40</v>
      </c>
      <c r="G32" s="281"/>
      <c r="H32" s="121"/>
      <c r="I32" s="49">
        <f>J32+K32</f>
        <v>2822</v>
      </c>
      <c r="J32" s="128">
        <v>1488</v>
      </c>
      <c r="K32" s="128">
        <v>1334</v>
      </c>
    </row>
    <row r="33" spans="1:11" ht="13.5">
      <c r="A33" s="127">
        <v>11</v>
      </c>
      <c r="B33" s="121"/>
      <c r="C33" s="49">
        <f>D33+E33</f>
        <v>1554</v>
      </c>
      <c r="D33" s="128">
        <v>762</v>
      </c>
      <c r="E33" s="128">
        <v>792</v>
      </c>
      <c r="F33" s="280">
        <v>41</v>
      </c>
      <c r="G33" s="281"/>
      <c r="H33" s="121"/>
      <c r="I33" s="49">
        <f>J33+K33</f>
        <v>2928</v>
      </c>
      <c r="J33" s="128">
        <v>1586</v>
      </c>
      <c r="K33" s="128">
        <v>1342</v>
      </c>
    </row>
    <row r="34" spans="1:11" ht="13.5">
      <c r="A34" s="127">
        <v>12</v>
      </c>
      <c r="B34" s="121"/>
      <c r="C34" s="49">
        <f>D34+E34</f>
        <v>1561</v>
      </c>
      <c r="D34" s="128">
        <v>785</v>
      </c>
      <c r="E34" s="128">
        <v>776</v>
      </c>
      <c r="F34" s="280">
        <v>42</v>
      </c>
      <c r="G34" s="281"/>
      <c r="H34" s="121"/>
      <c r="I34" s="49">
        <f>J34+K34</f>
        <v>2097</v>
      </c>
      <c r="J34" s="128">
        <v>1156</v>
      </c>
      <c r="K34" s="128">
        <v>941</v>
      </c>
    </row>
    <row r="35" spans="1:11" ht="13.5">
      <c r="A35" s="127">
        <v>13</v>
      </c>
      <c r="B35" s="121"/>
      <c r="C35" s="49">
        <f>D35+E35</f>
        <v>1463</v>
      </c>
      <c r="D35" s="128">
        <v>758</v>
      </c>
      <c r="E35" s="128">
        <v>705</v>
      </c>
      <c r="F35" s="280">
        <v>43</v>
      </c>
      <c r="G35" s="281"/>
      <c r="H35" s="121"/>
      <c r="I35" s="49">
        <f>J35+K35</f>
        <v>2798</v>
      </c>
      <c r="J35" s="128">
        <v>1529</v>
      </c>
      <c r="K35" s="128">
        <v>1269</v>
      </c>
    </row>
    <row r="36" spans="1:11" ht="13.5">
      <c r="A36" s="127">
        <v>14</v>
      </c>
      <c r="B36" s="121"/>
      <c r="C36" s="49">
        <f>D36+E36</f>
        <v>1539</v>
      </c>
      <c r="D36" s="128">
        <v>770</v>
      </c>
      <c r="E36" s="128">
        <v>769</v>
      </c>
      <c r="F36" s="280">
        <v>44</v>
      </c>
      <c r="G36" s="281"/>
      <c r="H36" s="121"/>
      <c r="I36" s="49">
        <f>J36+K36</f>
        <v>2548</v>
      </c>
      <c r="J36" s="128">
        <v>1383</v>
      </c>
      <c r="K36" s="128">
        <v>1165</v>
      </c>
    </row>
    <row r="37" spans="1:11" ht="6" customHeight="1">
      <c r="A37" s="127"/>
      <c r="B37" s="121"/>
      <c r="C37" s="49"/>
      <c r="D37" s="49"/>
      <c r="E37" s="49"/>
      <c r="F37" s="129"/>
      <c r="G37" s="127"/>
      <c r="H37" s="121"/>
      <c r="I37" s="49"/>
      <c r="J37" s="49"/>
      <c r="K37" s="49"/>
    </row>
    <row r="38" spans="1:11" ht="13.5" customHeight="1">
      <c r="A38" s="3" t="s">
        <v>294</v>
      </c>
      <c r="B38" s="130"/>
      <c r="C38" s="6">
        <f>SUM(C40:C44)</f>
        <v>7721</v>
      </c>
      <c r="D38" s="6">
        <f>SUM(D40:D44)</f>
        <v>3870</v>
      </c>
      <c r="E38" s="6">
        <f>SUM(E40:E44)</f>
        <v>3851</v>
      </c>
      <c r="F38" s="249" t="s">
        <v>297</v>
      </c>
      <c r="G38" s="250"/>
      <c r="H38" s="130"/>
      <c r="I38" s="6">
        <f>SUM(I40:I44)</f>
        <v>10501</v>
      </c>
      <c r="J38" s="6">
        <f>SUM(J40:J44)</f>
        <v>5575</v>
      </c>
      <c r="K38" s="6">
        <f>SUM(K40:K44)</f>
        <v>4926</v>
      </c>
    </row>
    <row r="39" spans="1:11" ht="3.75" customHeight="1">
      <c r="A39" s="127"/>
      <c r="B39" s="121"/>
      <c r="C39" s="49"/>
      <c r="D39" s="49"/>
      <c r="E39" s="49"/>
      <c r="F39" s="129"/>
      <c r="G39" s="127"/>
      <c r="H39" s="121"/>
      <c r="I39" s="49"/>
      <c r="J39" s="49"/>
      <c r="K39" s="49"/>
    </row>
    <row r="40" spans="1:11" ht="13.5">
      <c r="A40" s="127">
        <v>15</v>
      </c>
      <c r="B40" s="121"/>
      <c r="C40" s="49">
        <f>D40+E40</f>
        <v>1389</v>
      </c>
      <c r="D40" s="128">
        <v>711</v>
      </c>
      <c r="E40" s="128">
        <v>678</v>
      </c>
      <c r="F40" s="280">
        <v>45</v>
      </c>
      <c r="G40" s="281"/>
      <c r="H40" s="121"/>
      <c r="I40" s="49">
        <f>J40+K40</f>
        <v>2388</v>
      </c>
      <c r="J40" s="128">
        <v>1257</v>
      </c>
      <c r="K40" s="128">
        <v>1131</v>
      </c>
    </row>
    <row r="41" spans="1:11" ht="13.5">
      <c r="A41" s="127">
        <v>16</v>
      </c>
      <c r="B41" s="121"/>
      <c r="C41" s="49">
        <f>D41+E41</f>
        <v>1502</v>
      </c>
      <c r="D41" s="128">
        <v>748</v>
      </c>
      <c r="E41" s="128">
        <v>754</v>
      </c>
      <c r="F41" s="280">
        <v>46</v>
      </c>
      <c r="G41" s="281"/>
      <c r="H41" s="121"/>
      <c r="I41" s="49">
        <f>J41+K41</f>
        <v>2163</v>
      </c>
      <c r="J41" s="128">
        <v>1222</v>
      </c>
      <c r="K41" s="128">
        <v>941</v>
      </c>
    </row>
    <row r="42" spans="1:11" ht="13.5">
      <c r="A42" s="127">
        <v>17</v>
      </c>
      <c r="B42" s="121"/>
      <c r="C42" s="49">
        <f>D42+E42</f>
        <v>1475</v>
      </c>
      <c r="D42" s="128">
        <v>748</v>
      </c>
      <c r="E42" s="128">
        <v>727</v>
      </c>
      <c r="F42" s="280">
        <v>47</v>
      </c>
      <c r="G42" s="281"/>
      <c r="H42" s="121"/>
      <c r="I42" s="49">
        <f>J42+K42</f>
        <v>2062</v>
      </c>
      <c r="J42" s="128">
        <v>1047</v>
      </c>
      <c r="K42" s="128">
        <v>1015</v>
      </c>
    </row>
    <row r="43" spans="1:11" ht="13.5">
      <c r="A43" s="127">
        <v>18</v>
      </c>
      <c r="B43" s="121"/>
      <c r="C43" s="49">
        <f>D43+E43</f>
        <v>1519</v>
      </c>
      <c r="D43" s="128">
        <v>779</v>
      </c>
      <c r="E43" s="128">
        <v>740</v>
      </c>
      <c r="F43" s="280">
        <v>48</v>
      </c>
      <c r="G43" s="281"/>
      <c r="H43" s="121"/>
      <c r="I43" s="49">
        <f>J43+K43</f>
        <v>1998</v>
      </c>
      <c r="J43" s="128">
        <v>1060</v>
      </c>
      <c r="K43" s="128">
        <v>938</v>
      </c>
    </row>
    <row r="44" spans="1:11" ht="13.5">
      <c r="A44" s="127">
        <v>19</v>
      </c>
      <c r="B44" s="121"/>
      <c r="C44" s="49">
        <f>D44+E44</f>
        <v>1836</v>
      </c>
      <c r="D44" s="128">
        <v>884</v>
      </c>
      <c r="E44" s="128">
        <v>952</v>
      </c>
      <c r="F44" s="280">
        <v>49</v>
      </c>
      <c r="G44" s="281"/>
      <c r="H44" s="121"/>
      <c r="I44" s="49">
        <f>J44+K44</f>
        <v>1890</v>
      </c>
      <c r="J44" s="128">
        <v>989</v>
      </c>
      <c r="K44" s="128">
        <v>901</v>
      </c>
    </row>
    <row r="45" spans="1:11" ht="6" customHeight="1">
      <c r="A45" s="127"/>
      <c r="B45" s="121"/>
      <c r="C45" s="49"/>
      <c r="D45" s="49"/>
      <c r="E45" s="49"/>
      <c r="F45" s="129"/>
      <c r="G45" s="127"/>
      <c r="H45" s="121"/>
      <c r="I45" s="49"/>
      <c r="J45" s="49"/>
      <c r="K45" s="49"/>
    </row>
    <row r="46" spans="1:11" ht="13.5">
      <c r="A46" s="3" t="s">
        <v>295</v>
      </c>
      <c r="B46" s="130"/>
      <c r="C46" s="6">
        <f>SUM(C48:C52)</f>
        <v>10759</v>
      </c>
      <c r="D46" s="6">
        <f>SUM(D48:D52)</f>
        <v>5389</v>
      </c>
      <c r="E46" s="6">
        <f>SUM(E48:E52)</f>
        <v>5370</v>
      </c>
      <c r="F46" s="249" t="s">
        <v>298</v>
      </c>
      <c r="G46" s="250"/>
      <c r="H46" s="130"/>
      <c r="I46" s="6">
        <f>SUM(I48:I52)</f>
        <v>9544</v>
      </c>
      <c r="J46" s="6">
        <f>SUM(J48:J52)</f>
        <v>4894</v>
      </c>
      <c r="K46" s="6">
        <f>SUM(K48:K52)</f>
        <v>4650</v>
      </c>
    </row>
    <row r="47" spans="1:11" ht="3.75" customHeight="1">
      <c r="A47" s="127"/>
      <c r="B47" s="121"/>
      <c r="C47" s="49"/>
      <c r="D47" s="49"/>
      <c r="E47" s="49"/>
      <c r="F47" s="129"/>
      <c r="G47" s="127"/>
      <c r="H47" s="121"/>
      <c r="I47" s="49"/>
      <c r="J47" s="49"/>
      <c r="K47" s="49"/>
    </row>
    <row r="48" spans="1:11" ht="13.5">
      <c r="A48" s="127">
        <v>20</v>
      </c>
      <c r="B48" s="121"/>
      <c r="C48" s="49">
        <f>D48+E48</f>
        <v>1866</v>
      </c>
      <c r="D48" s="128">
        <v>860</v>
      </c>
      <c r="E48" s="128">
        <v>1006</v>
      </c>
      <c r="F48" s="280">
        <v>50</v>
      </c>
      <c r="G48" s="281"/>
      <c r="H48" s="121"/>
      <c r="I48" s="49">
        <f>J48+K48</f>
        <v>1922</v>
      </c>
      <c r="J48" s="128">
        <v>1016</v>
      </c>
      <c r="K48" s="128">
        <v>906</v>
      </c>
    </row>
    <row r="49" spans="1:11" ht="13.5">
      <c r="A49" s="127">
        <v>21</v>
      </c>
      <c r="B49" s="121"/>
      <c r="C49" s="49">
        <f>D49+E49</f>
        <v>2069</v>
      </c>
      <c r="D49" s="128">
        <v>984</v>
      </c>
      <c r="E49" s="128">
        <v>1085</v>
      </c>
      <c r="F49" s="280">
        <v>51</v>
      </c>
      <c r="G49" s="281"/>
      <c r="H49" s="121"/>
      <c r="I49" s="49">
        <f>J49+K49</f>
        <v>1859</v>
      </c>
      <c r="J49" s="128">
        <v>939</v>
      </c>
      <c r="K49" s="128">
        <v>920</v>
      </c>
    </row>
    <row r="50" spans="1:11" ht="13.5">
      <c r="A50" s="127">
        <v>22</v>
      </c>
      <c r="B50" s="121"/>
      <c r="C50" s="49">
        <f>D50+E50</f>
        <v>2140</v>
      </c>
      <c r="D50" s="128">
        <v>1039</v>
      </c>
      <c r="E50" s="128">
        <v>1101</v>
      </c>
      <c r="F50" s="280">
        <v>52</v>
      </c>
      <c r="G50" s="281"/>
      <c r="H50" s="121"/>
      <c r="I50" s="49">
        <f>J50+K50</f>
        <v>1809</v>
      </c>
      <c r="J50" s="128">
        <v>950</v>
      </c>
      <c r="K50" s="128">
        <v>859</v>
      </c>
    </row>
    <row r="51" spans="1:11" ht="13.5">
      <c r="A51" s="127">
        <v>23</v>
      </c>
      <c r="B51" s="121"/>
      <c r="C51" s="49">
        <f>D51+E51</f>
        <v>2212</v>
      </c>
      <c r="D51" s="128">
        <v>1209</v>
      </c>
      <c r="E51" s="128">
        <v>1003</v>
      </c>
      <c r="F51" s="280">
        <v>53</v>
      </c>
      <c r="G51" s="281"/>
      <c r="H51" s="121"/>
      <c r="I51" s="49">
        <f>J51+K51</f>
        <v>1947</v>
      </c>
      <c r="J51" s="128">
        <v>983</v>
      </c>
      <c r="K51" s="128">
        <v>964</v>
      </c>
    </row>
    <row r="52" spans="1:11" ht="13.5">
      <c r="A52" s="127">
        <v>24</v>
      </c>
      <c r="B52" s="121"/>
      <c r="C52" s="49">
        <f>D52+E52</f>
        <v>2472</v>
      </c>
      <c r="D52" s="128">
        <v>1297</v>
      </c>
      <c r="E52" s="128">
        <v>1175</v>
      </c>
      <c r="F52" s="280">
        <v>54</v>
      </c>
      <c r="G52" s="281"/>
      <c r="H52" s="121"/>
      <c r="I52" s="49">
        <f>J52+K52</f>
        <v>2007</v>
      </c>
      <c r="J52" s="128">
        <v>1006</v>
      </c>
      <c r="K52" s="128">
        <v>1001</v>
      </c>
    </row>
    <row r="53" spans="1:11" ht="6" customHeight="1">
      <c r="A53" s="131"/>
      <c r="B53" s="132"/>
      <c r="C53" s="134"/>
      <c r="D53" s="71"/>
      <c r="E53" s="71"/>
      <c r="F53" s="133"/>
      <c r="G53" s="131"/>
      <c r="H53" s="132"/>
      <c r="I53" s="71"/>
      <c r="J53" s="71"/>
      <c r="K53" s="71"/>
    </row>
    <row r="54" spans="1:11" ht="13.5">
      <c r="A54" s="209" t="s">
        <v>265</v>
      </c>
      <c r="B54" s="136"/>
      <c r="C54" s="136"/>
      <c r="D54" s="42"/>
      <c r="E54" s="42"/>
      <c r="F54" s="42"/>
      <c r="G54" s="42"/>
      <c r="H54" s="42"/>
      <c r="I54" s="42"/>
      <c r="J54" s="251"/>
      <c r="K54" s="251"/>
    </row>
    <row r="55" spans="1:11" ht="13.5">
      <c r="A55" s="209" t="s">
        <v>334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3.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3.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</sheetData>
  <mergeCells count="41">
    <mergeCell ref="F18:G18"/>
    <mergeCell ref="F19:G19"/>
    <mergeCell ref="F20:G20"/>
    <mergeCell ref="F22:G22"/>
    <mergeCell ref="F48:G48"/>
    <mergeCell ref="F49:G49"/>
    <mergeCell ref="F50:G50"/>
    <mergeCell ref="F42:G42"/>
    <mergeCell ref="F24:G24"/>
    <mergeCell ref="F25:G25"/>
    <mergeCell ref="F26:G26"/>
    <mergeCell ref="F27:G27"/>
    <mergeCell ref="J54:K54"/>
    <mergeCell ref="A4:B4"/>
    <mergeCell ref="A6:B6"/>
    <mergeCell ref="F6:G6"/>
    <mergeCell ref="F33:G33"/>
    <mergeCell ref="F8:G8"/>
    <mergeCell ref="F34:G34"/>
    <mergeCell ref="F35:G35"/>
    <mergeCell ref="F36:G36"/>
    <mergeCell ref="F38:G38"/>
    <mergeCell ref="F32:G32"/>
    <mergeCell ref="F28:G28"/>
    <mergeCell ref="F40:G40"/>
    <mergeCell ref="F52:G52"/>
    <mergeCell ref="F43:G43"/>
    <mergeCell ref="F44:G44"/>
    <mergeCell ref="F46:G46"/>
    <mergeCell ref="F30:G30"/>
    <mergeCell ref="F51:G51"/>
    <mergeCell ref="F41:G41"/>
    <mergeCell ref="F5:G5"/>
    <mergeCell ref="F4:H4"/>
    <mergeCell ref="F16:G16"/>
    <mergeCell ref="F17:G17"/>
    <mergeCell ref="F11:G11"/>
    <mergeCell ref="F12:G12"/>
    <mergeCell ref="F14:G14"/>
    <mergeCell ref="F9:G9"/>
    <mergeCell ref="F10:G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34　　　　人　口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</sheetPr>
  <dimension ref="A1:K55"/>
  <sheetViews>
    <sheetView workbookViewId="0" topLeftCell="A1">
      <selection activeCell="F15" sqref="F15"/>
    </sheetView>
  </sheetViews>
  <sheetFormatPr defaultColWidth="9.00390625" defaultRowHeight="13.5"/>
  <cols>
    <col min="1" max="1" width="8.125" style="2" customWidth="1"/>
    <col min="2" max="2" width="2.50390625" style="2" customWidth="1"/>
    <col min="3" max="5" width="10.00390625" style="2" customWidth="1"/>
    <col min="6" max="6" width="2.50390625" style="2" customWidth="1"/>
    <col min="7" max="7" width="5.625" style="2" customWidth="1"/>
    <col min="8" max="8" width="3.125" style="2" customWidth="1"/>
    <col min="9" max="11" width="10.00390625" style="2" customWidth="1"/>
    <col min="12" max="16384" width="9.00390625" style="2" customWidth="1"/>
  </cols>
  <sheetData>
    <row r="1" spans="1:11" ht="26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2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3.5">
      <c r="A3" s="21"/>
      <c r="B3" s="18"/>
      <c r="C3" s="18"/>
      <c r="D3" s="18"/>
      <c r="E3" s="18"/>
      <c r="F3" s="18"/>
      <c r="G3" s="18"/>
      <c r="H3" s="18"/>
      <c r="I3" s="18"/>
      <c r="J3" s="142"/>
      <c r="K3" s="142"/>
    </row>
    <row r="4" spans="1:11" ht="22.5" customHeight="1">
      <c r="A4" s="283" t="s">
        <v>183</v>
      </c>
      <c r="B4" s="284"/>
      <c r="C4" s="65" t="s">
        <v>117</v>
      </c>
      <c r="D4" s="63" t="s">
        <v>9</v>
      </c>
      <c r="E4" s="60" t="s">
        <v>10</v>
      </c>
      <c r="F4" s="282" t="s">
        <v>183</v>
      </c>
      <c r="G4" s="283"/>
      <c r="H4" s="284"/>
      <c r="I4" s="65" t="s">
        <v>117</v>
      </c>
      <c r="J4" s="63" t="s">
        <v>9</v>
      </c>
      <c r="K4" s="60" t="s">
        <v>10</v>
      </c>
    </row>
    <row r="5" spans="1:11" ht="6" customHeight="1">
      <c r="A5" s="137"/>
      <c r="B5" s="149"/>
      <c r="C5" s="137"/>
      <c r="D5" s="137"/>
      <c r="E5" s="137"/>
      <c r="F5" s="148"/>
      <c r="G5" s="137"/>
      <c r="H5" s="149"/>
      <c r="I5" s="137"/>
      <c r="J5" s="137"/>
      <c r="K5" s="137"/>
    </row>
    <row r="6" spans="1:11" ht="13.5">
      <c r="A6" s="3" t="s">
        <v>305</v>
      </c>
      <c r="B6" s="170" t="s">
        <v>118</v>
      </c>
      <c r="C6" s="26">
        <f>SUM(C8:C12)</f>
        <v>11733</v>
      </c>
      <c r="D6" s="26">
        <f>SUM(D8:D12)</f>
        <v>5923</v>
      </c>
      <c r="E6" s="26">
        <f>SUM(E8:E12)</f>
        <v>5810</v>
      </c>
      <c r="F6" s="249" t="s">
        <v>309</v>
      </c>
      <c r="G6" s="250"/>
      <c r="H6" s="170" t="s">
        <v>118</v>
      </c>
      <c r="I6" s="19">
        <f>SUM(I8:I12)</f>
        <v>2220</v>
      </c>
      <c r="J6" s="19">
        <f>SUM(J8:J12)</f>
        <v>594</v>
      </c>
      <c r="K6" s="19">
        <f>SUM(K8:K12)</f>
        <v>1626</v>
      </c>
    </row>
    <row r="7" spans="1:11" ht="3.75" customHeight="1">
      <c r="A7" s="127"/>
      <c r="B7" s="121"/>
      <c r="C7" s="102"/>
      <c r="D7" s="102"/>
      <c r="E7" s="102"/>
      <c r="F7" s="129"/>
      <c r="G7" s="127"/>
      <c r="H7" s="121"/>
      <c r="I7" s="103"/>
      <c r="J7" s="103"/>
      <c r="K7" s="103"/>
    </row>
    <row r="8" spans="1:11" ht="13.5">
      <c r="A8" s="127">
        <v>55</v>
      </c>
      <c r="B8" s="121"/>
      <c r="C8" s="102">
        <f>D8+E8</f>
        <v>1986</v>
      </c>
      <c r="D8" s="128">
        <v>1026</v>
      </c>
      <c r="E8" s="128">
        <v>960</v>
      </c>
      <c r="F8" s="280">
        <v>85</v>
      </c>
      <c r="G8" s="281"/>
      <c r="H8" s="121"/>
      <c r="I8" s="103">
        <f>J8+K8</f>
        <v>558</v>
      </c>
      <c r="J8" s="128">
        <v>172</v>
      </c>
      <c r="K8" s="128">
        <v>386</v>
      </c>
    </row>
    <row r="9" spans="1:11" ht="13.5">
      <c r="A9" s="127">
        <v>56</v>
      </c>
      <c r="B9" s="121"/>
      <c r="C9" s="102">
        <f>D9+E9</f>
        <v>2145</v>
      </c>
      <c r="D9" s="128">
        <v>1070</v>
      </c>
      <c r="E9" s="128">
        <v>1075</v>
      </c>
      <c r="F9" s="280">
        <v>86</v>
      </c>
      <c r="G9" s="281"/>
      <c r="H9" s="121"/>
      <c r="I9" s="103">
        <f>J9+K9</f>
        <v>439</v>
      </c>
      <c r="J9" s="128">
        <v>113</v>
      </c>
      <c r="K9" s="128">
        <v>326</v>
      </c>
    </row>
    <row r="10" spans="1:11" ht="13.5">
      <c r="A10" s="127">
        <v>57</v>
      </c>
      <c r="B10" s="121"/>
      <c r="C10" s="102">
        <f>D10+E10</f>
        <v>2328</v>
      </c>
      <c r="D10" s="128">
        <v>1175</v>
      </c>
      <c r="E10" s="128">
        <v>1153</v>
      </c>
      <c r="F10" s="280">
        <v>87</v>
      </c>
      <c r="G10" s="281"/>
      <c r="H10" s="121"/>
      <c r="I10" s="103">
        <f>J10+K10</f>
        <v>471</v>
      </c>
      <c r="J10" s="128">
        <v>126</v>
      </c>
      <c r="K10" s="128">
        <v>345</v>
      </c>
    </row>
    <row r="11" spans="1:11" ht="13.5">
      <c r="A11" s="127">
        <v>58</v>
      </c>
      <c r="B11" s="121"/>
      <c r="C11" s="102">
        <f>D11+E11</f>
        <v>2548</v>
      </c>
      <c r="D11" s="128">
        <v>1273</v>
      </c>
      <c r="E11" s="128">
        <v>1275</v>
      </c>
      <c r="F11" s="280">
        <v>88</v>
      </c>
      <c r="G11" s="281"/>
      <c r="H11" s="121"/>
      <c r="I11" s="103">
        <f>J11+K11</f>
        <v>415</v>
      </c>
      <c r="J11" s="128">
        <v>107</v>
      </c>
      <c r="K11" s="128">
        <v>308</v>
      </c>
    </row>
    <row r="12" spans="1:11" ht="13.5">
      <c r="A12" s="127">
        <v>59</v>
      </c>
      <c r="B12" s="121"/>
      <c r="C12" s="102">
        <f>D12+E12</f>
        <v>2726</v>
      </c>
      <c r="D12" s="128">
        <v>1379</v>
      </c>
      <c r="E12" s="128">
        <v>1347</v>
      </c>
      <c r="F12" s="280">
        <v>89</v>
      </c>
      <c r="G12" s="281"/>
      <c r="H12" s="121"/>
      <c r="I12" s="103">
        <f>J12+K12</f>
        <v>337</v>
      </c>
      <c r="J12" s="128">
        <v>76</v>
      </c>
      <c r="K12" s="128">
        <v>261</v>
      </c>
    </row>
    <row r="13" spans="1:11" ht="6" customHeight="1">
      <c r="A13" s="127"/>
      <c r="B13" s="121"/>
      <c r="C13" s="102"/>
      <c r="D13" s="102"/>
      <c r="E13" s="102"/>
      <c r="F13" s="129"/>
      <c r="G13" s="127"/>
      <c r="H13" s="121"/>
      <c r="I13" s="103"/>
      <c r="J13" s="102"/>
      <c r="K13" s="102"/>
    </row>
    <row r="14" spans="1:11" ht="13.5">
      <c r="A14" s="3" t="s">
        <v>299</v>
      </c>
      <c r="B14" s="130"/>
      <c r="C14" s="26">
        <f>SUM(C16:C20)</f>
        <v>11865</v>
      </c>
      <c r="D14" s="26">
        <f>SUM(D16:D20)</f>
        <v>5729</v>
      </c>
      <c r="E14" s="26">
        <f>SUM(E16:E20)</f>
        <v>6136</v>
      </c>
      <c r="F14" s="249" t="s">
        <v>300</v>
      </c>
      <c r="G14" s="250"/>
      <c r="H14" s="130"/>
      <c r="I14" s="19">
        <f>SUM(I16:I20)</f>
        <v>929</v>
      </c>
      <c r="J14" s="26">
        <f>SUM(J16:J20)</f>
        <v>214</v>
      </c>
      <c r="K14" s="26">
        <f>SUM(K16:K20)</f>
        <v>715</v>
      </c>
    </row>
    <row r="15" spans="1:11" ht="3.75" customHeight="1">
      <c r="A15" s="127"/>
      <c r="B15" s="121"/>
      <c r="C15" s="102"/>
      <c r="D15" s="102"/>
      <c r="E15" s="102"/>
      <c r="F15" s="129"/>
      <c r="G15" s="127"/>
      <c r="H15" s="121"/>
      <c r="I15" s="103"/>
      <c r="J15" s="102"/>
      <c r="K15" s="102"/>
    </row>
    <row r="16" spans="1:11" ht="13.5">
      <c r="A16" s="127">
        <v>60</v>
      </c>
      <c r="B16" s="121"/>
      <c r="C16" s="102">
        <f>D16+E16</f>
        <v>2812</v>
      </c>
      <c r="D16" s="128">
        <v>1308</v>
      </c>
      <c r="E16" s="128">
        <v>1504</v>
      </c>
      <c r="F16" s="280">
        <v>90</v>
      </c>
      <c r="G16" s="281"/>
      <c r="H16" s="121"/>
      <c r="I16" s="103">
        <f>J16+K16</f>
        <v>245</v>
      </c>
      <c r="J16" s="128">
        <v>55</v>
      </c>
      <c r="K16" s="128">
        <v>190</v>
      </c>
    </row>
    <row r="17" spans="1:11" ht="13.5">
      <c r="A17" s="127">
        <v>61</v>
      </c>
      <c r="B17" s="121"/>
      <c r="C17" s="102">
        <f>D17+E17</f>
        <v>2880</v>
      </c>
      <c r="D17" s="128">
        <v>1463</v>
      </c>
      <c r="E17" s="128">
        <v>1417</v>
      </c>
      <c r="F17" s="280">
        <v>91</v>
      </c>
      <c r="G17" s="281"/>
      <c r="H17" s="121"/>
      <c r="I17" s="103">
        <f>J17+K17</f>
        <v>229</v>
      </c>
      <c r="J17" s="128">
        <v>50</v>
      </c>
      <c r="K17" s="128">
        <v>179</v>
      </c>
    </row>
    <row r="18" spans="1:11" ht="13.5">
      <c r="A18" s="127">
        <v>62</v>
      </c>
      <c r="B18" s="121"/>
      <c r="C18" s="102">
        <f>D18+E18</f>
        <v>2066</v>
      </c>
      <c r="D18" s="128">
        <v>993</v>
      </c>
      <c r="E18" s="128">
        <v>1073</v>
      </c>
      <c r="F18" s="280">
        <v>92</v>
      </c>
      <c r="G18" s="281"/>
      <c r="H18" s="121"/>
      <c r="I18" s="103">
        <f>J18+K18</f>
        <v>161</v>
      </c>
      <c r="J18" s="128">
        <v>30</v>
      </c>
      <c r="K18" s="128">
        <v>131</v>
      </c>
    </row>
    <row r="19" spans="1:11" ht="13.5">
      <c r="A19" s="127">
        <v>63</v>
      </c>
      <c r="B19" s="121"/>
      <c r="C19" s="102">
        <f>D19+E19</f>
        <v>1855</v>
      </c>
      <c r="D19" s="128">
        <v>887</v>
      </c>
      <c r="E19" s="128">
        <v>968</v>
      </c>
      <c r="F19" s="280">
        <v>93</v>
      </c>
      <c r="G19" s="281"/>
      <c r="H19" s="121"/>
      <c r="I19" s="103">
        <f>J19+K19</f>
        <v>166</v>
      </c>
      <c r="J19" s="128">
        <v>41</v>
      </c>
      <c r="K19" s="128">
        <v>125</v>
      </c>
    </row>
    <row r="20" spans="1:11" ht="13.5">
      <c r="A20" s="127">
        <v>64</v>
      </c>
      <c r="B20" s="121"/>
      <c r="C20" s="102">
        <f>D20+E20</f>
        <v>2252</v>
      </c>
      <c r="D20" s="128">
        <v>1078</v>
      </c>
      <c r="E20" s="128">
        <v>1174</v>
      </c>
      <c r="F20" s="280">
        <v>94</v>
      </c>
      <c r="G20" s="281"/>
      <c r="H20" s="121"/>
      <c r="I20" s="103">
        <f>J20+K20</f>
        <v>128</v>
      </c>
      <c r="J20" s="128">
        <v>38</v>
      </c>
      <c r="K20" s="128">
        <v>90</v>
      </c>
    </row>
    <row r="21" spans="1:11" ht="6" customHeight="1">
      <c r="A21" s="127"/>
      <c r="B21" s="121"/>
      <c r="C21" s="102"/>
      <c r="D21" s="102"/>
      <c r="E21" s="102"/>
      <c r="F21" s="129"/>
      <c r="G21" s="127"/>
      <c r="H21" s="121"/>
      <c r="I21" s="103"/>
      <c r="J21" s="102"/>
      <c r="K21" s="102"/>
    </row>
    <row r="22" spans="1:11" ht="13.5">
      <c r="A22" s="3" t="s">
        <v>301</v>
      </c>
      <c r="B22" s="130"/>
      <c r="C22" s="26">
        <f>SUM(C24:C28)</f>
        <v>10847</v>
      </c>
      <c r="D22" s="26">
        <f>SUM(D24:D28)</f>
        <v>5138</v>
      </c>
      <c r="E22" s="26">
        <f>SUM(E24:E28)</f>
        <v>5709</v>
      </c>
      <c r="F22" s="249" t="s">
        <v>302</v>
      </c>
      <c r="G22" s="250"/>
      <c r="H22" s="130"/>
      <c r="I22" s="19">
        <f>SUM(I24:I28)</f>
        <v>275</v>
      </c>
      <c r="J22" s="26">
        <f>SUM(J24:J28)</f>
        <v>49</v>
      </c>
      <c r="K22" s="26">
        <f>SUM(K24:K28)</f>
        <v>226</v>
      </c>
    </row>
    <row r="23" spans="1:11" ht="3.75" customHeight="1">
      <c r="A23" s="127"/>
      <c r="B23" s="121"/>
      <c r="C23" s="102"/>
      <c r="D23" s="102"/>
      <c r="E23" s="102"/>
      <c r="F23" s="129"/>
      <c r="G23" s="127"/>
      <c r="H23" s="121"/>
      <c r="I23" s="103"/>
      <c r="J23" s="102"/>
      <c r="K23" s="102"/>
    </row>
    <row r="24" spans="1:11" ht="13.5">
      <c r="A24" s="127">
        <v>65</v>
      </c>
      <c r="B24" s="121"/>
      <c r="C24" s="102">
        <f>D24+E24</f>
        <v>2395</v>
      </c>
      <c r="D24" s="128">
        <v>1128</v>
      </c>
      <c r="E24" s="128">
        <v>1267</v>
      </c>
      <c r="F24" s="280">
        <v>95</v>
      </c>
      <c r="G24" s="281"/>
      <c r="H24" s="121"/>
      <c r="I24" s="103">
        <f>J24+K24</f>
        <v>84</v>
      </c>
      <c r="J24" s="128">
        <v>10</v>
      </c>
      <c r="K24" s="128">
        <v>74</v>
      </c>
    </row>
    <row r="25" spans="1:11" ht="13.5">
      <c r="A25" s="127">
        <v>66</v>
      </c>
      <c r="B25" s="121"/>
      <c r="C25" s="102">
        <f>D25+E25</f>
        <v>2273</v>
      </c>
      <c r="D25" s="128">
        <v>1132</v>
      </c>
      <c r="E25" s="128">
        <v>1141</v>
      </c>
      <c r="F25" s="280">
        <v>96</v>
      </c>
      <c r="G25" s="281"/>
      <c r="H25" s="121"/>
      <c r="I25" s="103">
        <f>J25+K25</f>
        <v>77</v>
      </c>
      <c r="J25" s="128">
        <v>17</v>
      </c>
      <c r="K25" s="128">
        <v>60</v>
      </c>
    </row>
    <row r="26" spans="1:11" ht="13.5">
      <c r="A26" s="127">
        <v>67</v>
      </c>
      <c r="B26" s="121"/>
      <c r="C26" s="102">
        <f>D26+E26</f>
        <v>2260</v>
      </c>
      <c r="D26" s="128">
        <v>1072</v>
      </c>
      <c r="E26" s="128">
        <v>1188</v>
      </c>
      <c r="F26" s="280">
        <v>97</v>
      </c>
      <c r="G26" s="281"/>
      <c r="H26" s="121"/>
      <c r="I26" s="103">
        <f>J26+K26</f>
        <v>56</v>
      </c>
      <c r="J26" s="128">
        <v>12</v>
      </c>
      <c r="K26" s="128">
        <v>44</v>
      </c>
    </row>
    <row r="27" spans="1:11" ht="13.5">
      <c r="A27" s="127">
        <v>68</v>
      </c>
      <c r="B27" s="121"/>
      <c r="C27" s="102">
        <f>D27+E27</f>
        <v>2027</v>
      </c>
      <c r="D27" s="128">
        <v>948</v>
      </c>
      <c r="E27" s="128">
        <v>1079</v>
      </c>
      <c r="F27" s="280">
        <v>98</v>
      </c>
      <c r="G27" s="281"/>
      <c r="H27" s="121"/>
      <c r="I27" s="103">
        <f>J27+K27</f>
        <v>32</v>
      </c>
      <c r="J27" s="128">
        <v>5</v>
      </c>
      <c r="K27" s="128">
        <v>27</v>
      </c>
    </row>
    <row r="28" spans="1:11" ht="13.5">
      <c r="A28" s="127">
        <v>69</v>
      </c>
      <c r="B28" s="121"/>
      <c r="C28" s="102">
        <f>D28+E28</f>
        <v>1892</v>
      </c>
      <c r="D28" s="128">
        <v>858</v>
      </c>
      <c r="E28" s="128">
        <v>1034</v>
      </c>
      <c r="F28" s="280">
        <v>99</v>
      </c>
      <c r="G28" s="281"/>
      <c r="H28" s="121"/>
      <c r="I28" s="103">
        <f>J28+K28</f>
        <v>26</v>
      </c>
      <c r="J28" s="128">
        <v>5</v>
      </c>
      <c r="K28" s="128">
        <v>21</v>
      </c>
    </row>
    <row r="29" spans="1:11" ht="6" customHeight="1">
      <c r="A29" s="127"/>
      <c r="B29" s="121"/>
      <c r="C29" s="102"/>
      <c r="D29" s="102"/>
      <c r="E29" s="102"/>
      <c r="F29" s="120"/>
      <c r="G29" s="100"/>
      <c r="H29" s="121"/>
      <c r="I29" s="103"/>
      <c r="J29" s="102"/>
      <c r="K29" s="102"/>
    </row>
    <row r="30" spans="1:11" ht="13.5">
      <c r="A30" s="3" t="s">
        <v>306</v>
      </c>
      <c r="B30" s="130"/>
      <c r="C30" s="26">
        <f>SUM(C32:C36)</f>
        <v>8637</v>
      </c>
      <c r="D30" s="26">
        <f>SUM(D32:D36)</f>
        <v>3947</v>
      </c>
      <c r="E30" s="26">
        <f>SUM(E32:E36)</f>
        <v>4690</v>
      </c>
      <c r="F30" s="249" t="s">
        <v>184</v>
      </c>
      <c r="G30" s="250"/>
      <c r="H30" s="240"/>
      <c r="I30" s="19">
        <f>J30+K30</f>
        <v>36</v>
      </c>
      <c r="J30" s="26">
        <v>4</v>
      </c>
      <c r="K30" s="26">
        <v>32</v>
      </c>
    </row>
    <row r="31" spans="1:11" ht="3.75" customHeight="1">
      <c r="A31" s="127"/>
      <c r="B31" s="121"/>
      <c r="C31" s="102"/>
      <c r="D31" s="102"/>
      <c r="E31" s="102"/>
      <c r="F31" s="129"/>
      <c r="G31" s="127"/>
      <c r="H31" s="51"/>
      <c r="I31" s="103"/>
      <c r="J31" s="102"/>
      <c r="K31" s="102"/>
    </row>
    <row r="32" spans="1:11" ht="13.5">
      <c r="A32" s="127">
        <v>70</v>
      </c>
      <c r="B32" s="121"/>
      <c r="C32" s="102">
        <f>D32+E32</f>
        <v>1733</v>
      </c>
      <c r="D32" s="128">
        <v>791</v>
      </c>
      <c r="E32" s="128">
        <v>942</v>
      </c>
      <c r="F32" s="280"/>
      <c r="G32" s="281"/>
      <c r="H32" s="239"/>
      <c r="I32" s="103"/>
      <c r="J32" s="103"/>
      <c r="K32" s="103"/>
    </row>
    <row r="33" spans="1:11" ht="13.5">
      <c r="A33" s="127">
        <v>71</v>
      </c>
      <c r="B33" s="121"/>
      <c r="C33" s="102">
        <f>D33+E33</f>
        <v>1839</v>
      </c>
      <c r="D33" s="128">
        <v>824</v>
      </c>
      <c r="E33" s="128">
        <v>1015</v>
      </c>
      <c r="F33" s="245" t="s">
        <v>123</v>
      </c>
      <c r="G33" s="246"/>
      <c r="H33" s="247"/>
      <c r="I33" s="103" t="s">
        <v>303</v>
      </c>
      <c r="J33" s="103" t="s">
        <v>303</v>
      </c>
      <c r="K33" s="103" t="s">
        <v>303</v>
      </c>
    </row>
    <row r="34" spans="1:11" ht="13.5">
      <c r="A34" s="127">
        <v>72</v>
      </c>
      <c r="B34" s="121"/>
      <c r="C34" s="102">
        <f>D34+E34</f>
        <v>1784</v>
      </c>
      <c r="D34" s="128">
        <v>816</v>
      </c>
      <c r="E34" s="128">
        <v>968</v>
      </c>
      <c r="F34" s="248" t="s">
        <v>119</v>
      </c>
      <c r="G34" s="224"/>
      <c r="H34" s="225"/>
      <c r="I34" s="138"/>
      <c r="J34" s="138"/>
      <c r="K34" s="138"/>
    </row>
    <row r="35" spans="1:11" ht="13.5" customHeight="1">
      <c r="A35" s="127">
        <v>73</v>
      </c>
      <c r="B35" s="121"/>
      <c r="C35" s="102">
        <f>D35+E35</f>
        <v>1751</v>
      </c>
      <c r="D35" s="128">
        <v>805</v>
      </c>
      <c r="E35" s="128">
        <v>946</v>
      </c>
      <c r="F35" s="259" t="s">
        <v>261</v>
      </c>
      <c r="G35" s="260"/>
      <c r="H35" s="261"/>
      <c r="I35" s="103">
        <f>J35+K35</f>
        <v>22759</v>
      </c>
      <c r="J35" s="103">
        <f>SUM('1 人口 4'!D14,'1 人口 4'!D22,'1 人口 4'!D30)</f>
        <v>11580</v>
      </c>
      <c r="K35" s="103">
        <f>SUM('1 人口 4'!E14,'1 人口 4'!E22,'1 人口 4'!E30)</f>
        <v>11179</v>
      </c>
    </row>
    <row r="36" spans="1:11" ht="13.5" customHeight="1">
      <c r="A36" s="127">
        <v>74</v>
      </c>
      <c r="B36" s="121"/>
      <c r="C36" s="102">
        <f>D36+E36</f>
        <v>1530</v>
      </c>
      <c r="D36" s="128">
        <v>711</v>
      </c>
      <c r="E36" s="128">
        <v>819</v>
      </c>
      <c r="F36" s="259" t="s">
        <v>262</v>
      </c>
      <c r="G36" s="260"/>
      <c r="H36" s="261"/>
      <c r="I36" s="227">
        <f>J36+K36</f>
        <v>117413</v>
      </c>
      <c r="J36" s="264">
        <f>SUM('1 人口 4'!D38,'1 人口 4'!D46,'1 人口 4'!J6,'1 人口 4'!J14,'1 人口 4'!J22,'1 人口 4'!J30,'1 人口 4'!J38,'1 人口 4'!J46,D6,D14)</f>
        <v>60952</v>
      </c>
      <c r="K36" s="264">
        <f>SUM('1 人口 4'!E38,'1 人口 4'!E46,'1 人口 4'!K6,'1 人口 4'!K14,'1 人口 4'!K22,'1 人口 4'!K30,'1 人口 4'!K38,'1 人口 4'!K46,E6,E14)</f>
        <v>56461</v>
      </c>
    </row>
    <row r="37" spans="1:11" ht="6" customHeight="1">
      <c r="A37" s="127"/>
      <c r="B37" s="121"/>
      <c r="C37" s="102"/>
      <c r="D37" s="102"/>
      <c r="E37" s="102"/>
      <c r="F37" s="259"/>
      <c r="G37" s="260"/>
      <c r="H37" s="261"/>
      <c r="I37" s="227"/>
      <c r="J37" s="264"/>
      <c r="K37" s="264"/>
    </row>
    <row r="38" spans="1:11" ht="13.5">
      <c r="A38" s="3" t="s">
        <v>307</v>
      </c>
      <c r="B38" s="130"/>
      <c r="C38" s="26">
        <f>SUM(C40:C44)</f>
        <v>6542</v>
      </c>
      <c r="D38" s="26">
        <f>SUM(D40:D44)</f>
        <v>2870</v>
      </c>
      <c r="E38" s="26">
        <f>SUM(E40:E44)</f>
        <v>3672</v>
      </c>
      <c r="F38" s="259" t="s">
        <v>263</v>
      </c>
      <c r="G38" s="260"/>
      <c r="H38" s="261"/>
      <c r="I38" s="73">
        <f>J38+K38</f>
        <v>33520</v>
      </c>
      <c r="J38" s="124">
        <f>J40+J41</f>
        <v>14393</v>
      </c>
      <c r="K38" s="124">
        <f>K40+K41</f>
        <v>19127</v>
      </c>
    </row>
    <row r="39" spans="1:11" ht="3.75" customHeight="1">
      <c r="A39" s="127"/>
      <c r="B39" s="121"/>
      <c r="C39" s="102"/>
      <c r="D39" s="102"/>
      <c r="E39" s="102"/>
      <c r="F39" s="129"/>
      <c r="G39" s="43"/>
      <c r="H39" s="79"/>
      <c r="I39" s="102"/>
      <c r="J39" s="103"/>
      <c r="K39" s="103"/>
    </row>
    <row r="40" spans="1:11" ht="13.5" customHeight="1">
      <c r="A40" s="127">
        <v>75</v>
      </c>
      <c r="B40" s="121"/>
      <c r="C40" s="102">
        <f>D40+E40</f>
        <v>1481</v>
      </c>
      <c r="D40" s="128">
        <v>668</v>
      </c>
      <c r="E40" s="128">
        <v>813</v>
      </c>
      <c r="F40" s="144"/>
      <c r="G40" s="262" t="s">
        <v>120</v>
      </c>
      <c r="H40" s="226"/>
      <c r="I40" s="103">
        <f>J40+K40</f>
        <v>19484</v>
      </c>
      <c r="J40" s="103">
        <f>D22+D30</f>
        <v>9085</v>
      </c>
      <c r="K40" s="103">
        <f>E22+E30</f>
        <v>10399</v>
      </c>
    </row>
    <row r="41" spans="1:11" ht="13.5" customHeight="1">
      <c r="A41" s="127">
        <v>76</v>
      </c>
      <c r="B41" s="121"/>
      <c r="C41" s="102">
        <f>D41+E41</f>
        <v>1472</v>
      </c>
      <c r="D41" s="128">
        <v>665</v>
      </c>
      <c r="E41" s="128">
        <v>807</v>
      </c>
      <c r="F41" s="144"/>
      <c r="G41" s="262" t="s">
        <v>121</v>
      </c>
      <c r="H41" s="263"/>
      <c r="I41" s="103">
        <f>J41+K41</f>
        <v>14036</v>
      </c>
      <c r="J41" s="103">
        <f>D38+D46+J6+J14+J22+J30</f>
        <v>5308</v>
      </c>
      <c r="K41" s="103">
        <f>E38+E46+K6+K14+K22+K30</f>
        <v>8728</v>
      </c>
    </row>
    <row r="42" spans="1:11" ht="13.5" customHeight="1">
      <c r="A42" s="127">
        <v>77</v>
      </c>
      <c r="B42" s="121"/>
      <c r="C42" s="102">
        <f>D42+E42</f>
        <v>1324</v>
      </c>
      <c r="D42" s="128">
        <v>564</v>
      </c>
      <c r="E42" s="128">
        <v>760</v>
      </c>
      <c r="F42" s="145"/>
      <c r="G42" s="43"/>
      <c r="H42" s="79"/>
      <c r="I42" s="139"/>
      <c r="J42" s="139"/>
      <c r="K42" s="139"/>
    </row>
    <row r="43" spans="1:11" ht="13.5" customHeight="1">
      <c r="A43" s="127">
        <v>78</v>
      </c>
      <c r="B43" s="121"/>
      <c r="C43" s="102">
        <f>D43+E43</f>
        <v>1178</v>
      </c>
      <c r="D43" s="128">
        <v>514</v>
      </c>
      <c r="E43" s="128">
        <v>664</v>
      </c>
      <c r="F43" s="253" t="s">
        <v>304</v>
      </c>
      <c r="G43" s="254"/>
      <c r="H43" s="255"/>
      <c r="I43" s="243"/>
      <c r="J43" s="244"/>
      <c r="K43" s="244"/>
    </row>
    <row r="44" spans="1:11" ht="13.5" customHeight="1">
      <c r="A44" s="127">
        <v>79</v>
      </c>
      <c r="B44" s="121"/>
      <c r="C44" s="102">
        <f>D44+E44</f>
        <v>1087</v>
      </c>
      <c r="D44" s="128">
        <v>459</v>
      </c>
      <c r="E44" s="128">
        <v>628</v>
      </c>
      <c r="F44" s="259" t="s">
        <v>261</v>
      </c>
      <c r="G44" s="260"/>
      <c r="H44" s="261"/>
      <c r="I44" s="140">
        <f>I35/'1 人口 4'!C6*100</f>
        <v>13.103079013426063</v>
      </c>
      <c r="J44" s="140">
        <f>J35/'1 人口 4'!D6*100</f>
        <v>13.321829163071614</v>
      </c>
      <c r="K44" s="140">
        <f>K35/'1 人口 4'!E6*100</f>
        <v>12.883930526582688</v>
      </c>
    </row>
    <row r="45" spans="1:11" ht="6" customHeight="1">
      <c r="A45" s="127"/>
      <c r="B45" s="121"/>
      <c r="C45" s="102"/>
      <c r="D45" s="102"/>
      <c r="E45" s="102"/>
      <c r="F45" s="259" t="s">
        <v>262</v>
      </c>
      <c r="G45" s="260"/>
      <c r="H45" s="261"/>
      <c r="I45" s="258">
        <f>I36/'1 人口 4'!C6*100</f>
        <v>67.59839255693987</v>
      </c>
      <c r="J45" s="258">
        <f>J36/'1 人口 4'!D6*100</f>
        <v>70.12021857923497</v>
      </c>
      <c r="K45" s="258">
        <f>K36/'1 人口 4'!E6*100</f>
        <v>65.07197436813536</v>
      </c>
    </row>
    <row r="46" spans="1:11" ht="13.5">
      <c r="A46" s="3" t="s">
        <v>308</v>
      </c>
      <c r="B46" s="130"/>
      <c r="C46" s="26">
        <f>SUM(C48:C53)</f>
        <v>4034</v>
      </c>
      <c r="D46" s="26">
        <f>SUM(D48:D53)</f>
        <v>1577</v>
      </c>
      <c r="E46" s="26">
        <f>SUM(E48:E53)</f>
        <v>2457</v>
      </c>
      <c r="F46" s="259"/>
      <c r="G46" s="260"/>
      <c r="H46" s="261"/>
      <c r="I46" s="258"/>
      <c r="J46" s="258"/>
      <c r="K46" s="258"/>
    </row>
    <row r="47" spans="1:11" ht="3.75" customHeight="1">
      <c r="A47" s="127"/>
      <c r="B47" s="121"/>
      <c r="C47" s="102"/>
      <c r="D47" s="102"/>
      <c r="E47" s="102"/>
      <c r="F47" s="259" t="s">
        <v>263</v>
      </c>
      <c r="G47" s="260"/>
      <c r="H47" s="261"/>
      <c r="I47" s="228">
        <f>I38/'1 人口 4'!C6*100</f>
        <v>19.298528429634064</v>
      </c>
      <c r="J47" s="228">
        <f>J38/'1 人口 4'!D6*100</f>
        <v>16.557952257693415</v>
      </c>
      <c r="K47" s="228">
        <f>K38/'1 人口 4'!E6*100</f>
        <v>22.044095105281965</v>
      </c>
    </row>
    <row r="48" spans="1:11" ht="9.75" customHeight="1">
      <c r="A48" s="281">
        <v>80</v>
      </c>
      <c r="B48" s="121"/>
      <c r="C48" s="257">
        <f>D48+E48</f>
        <v>1064</v>
      </c>
      <c r="D48" s="256">
        <v>443</v>
      </c>
      <c r="E48" s="256">
        <v>621</v>
      </c>
      <c r="F48" s="259"/>
      <c r="G48" s="260"/>
      <c r="H48" s="261"/>
      <c r="I48" s="228"/>
      <c r="J48" s="228"/>
      <c r="K48" s="228"/>
    </row>
    <row r="49" spans="1:11" ht="3.75" customHeight="1">
      <c r="A49" s="281"/>
      <c r="B49" s="121"/>
      <c r="C49" s="257"/>
      <c r="D49" s="256"/>
      <c r="E49" s="256"/>
      <c r="F49" s="144"/>
      <c r="G49" s="43"/>
      <c r="H49" s="79"/>
      <c r="I49" s="40"/>
      <c r="J49" s="40"/>
      <c r="K49" s="40"/>
    </row>
    <row r="50" spans="1:11" ht="13.5">
      <c r="A50" s="127">
        <v>81</v>
      </c>
      <c r="B50" s="121"/>
      <c r="C50" s="102">
        <f>D50+E50</f>
        <v>862</v>
      </c>
      <c r="D50" s="128">
        <v>362</v>
      </c>
      <c r="E50" s="128">
        <v>500</v>
      </c>
      <c r="F50" s="144"/>
      <c r="G50" s="262" t="s">
        <v>120</v>
      </c>
      <c r="H50" s="238"/>
      <c r="I50" s="140">
        <f>I40/'1 人口 4'!C6*100</f>
        <v>11.21755751560233</v>
      </c>
      <c r="J50" s="140">
        <f>J40/'1 人口 4'!D6*100</f>
        <v>10.451538682772506</v>
      </c>
      <c r="K50" s="140">
        <f>K40/'1 人口 4'!E6*100</f>
        <v>11.984971244828104</v>
      </c>
    </row>
    <row r="51" spans="1:11" ht="13.5">
      <c r="A51" s="127">
        <v>82</v>
      </c>
      <c r="B51" s="121"/>
      <c r="C51" s="102">
        <f>D51+E51</f>
        <v>781</v>
      </c>
      <c r="D51" s="128">
        <v>304</v>
      </c>
      <c r="E51" s="128">
        <v>477</v>
      </c>
      <c r="F51" s="122"/>
      <c r="G51" s="262" t="s">
        <v>121</v>
      </c>
      <c r="H51" s="238"/>
      <c r="I51" s="140">
        <f>I41/'1 人口 4'!C6*100</f>
        <v>8.080970914031735</v>
      </c>
      <c r="J51" s="140">
        <f>J41/'1 人口 4'!D6*100</f>
        <v>6.106413574920909</v>
      </c>
      <c r="K51" s="140">
        <f>K41/'1 人口 4'!E6*100</f>
        <v>10.059123860453859</v>
      </c>
    </row>
    <row r="52" spans="1:11" ht="13.5">
      <c r="A52" s="127">
        <v>83</v>
      </c>
      <c r="B52" s="121"/>
      <c r="C52" s="102">
        <f>D52+E52</f>
        <v>729</v>
      </c>
      <c r="D52" s="128">
        <v>266</v>
      </c>
      <c r="E52" s="128">
        <v>463</v>
      </c>
      <c r="F52" s="145"/>
      <c r="G52" s="43"/>
      <c r="H52" s="79"/>
      <c r="I52" s="40"/>
      <c r="J52" s="40"/>
      <c r="K52" s="40"/>
    </row>
    <row r="53" spans="1:11" ht="13.5">
      <c r="A53" s="127">
        <v>84</v>
      </c>
      <c r="B53" s="121"/>
      <c r="C53" s="102">
        <f>D53+E53</f>
        <v>598</v>
      </c>
      <c r="D53" s="128">
        <v>202</v>
      </c>
      <c r="E53" s="128">
        <v>396</v>
      </c>
      <c r="F53" s="241" t="s">
        <v>122</v>
      </c>
      <c r="G53" s="278"/>
      <c r="H53" s="242"/>
      <c r="I53" s="141">
        <v>42.2</v>
      </c>
      <c r="J53" s="141">
        <v>40.9</v>
      </c>
      <c r="K53" s="141">
        <v>43.5</v>
      </c>
    </row>
    <row r="54" spans="1:11" ht="6" customHeight="1">
      <c r="A54" s="152"/>
      <c r="B54" s="132"/>
      <c r="C54" s="102"/>
      <c r="D54" s="102"/>
      <c r="E54" s="102"/>
      <c r="F54" s="146"/>
      <c r="G54" s="96"/>
      <c r="H54" s="52"/>
      <c r="I54" s="143"/>
      <c r="J54" s="143"/>
      <c r="K54" s="143"/>
    </row>
    <row r="55" spans="1:11" ht="13.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</sheetData>
  <mergeCells count="50">
    <mergeCell ref="F53:H53"/>
    <mergeCell ref="I43:K43"/>
    <mergeCell ref="F33:H33"/>
    <mergeCell ref="F34:H34"/>
    <mergeCell ref="G40:H40"/>
    <mergeCell ref="I36:I37"/>
    <mergeCell ref="K47:K48"/>
    <mergeCell ref="J47:J48"/>
    <mergeCell ref="I47:I48"/>
    <mergeCell ref="F47:H48"/>
    <mergeCell ref="F6:G6"/>
    <mergeCell ref="A4:B4"/>
    <mergeCell ref="F4:H4"/>
    <mergeCell ref="F9:G9"/>
    <mergeCell ref="F8:G8"/>
    <mergeCell ref="F28:G28"/>
    <mergeCell ref="F30:H30"/>
    <mergeCell ref="F20:G20"/>
    <mergeCell ref="F10:G10"/>
    <mergeCell ref="F11:G11"/>
    <mergeCell ref="F12:G12"/>
    <mergeCell ref="F14:G14"/>
    <mergeCell ref="F16:G16"/>
    <mergeCell ref="F17:G17"/>
    <mergeCell ref="F18:G18"/>
    <mergeCell ref="F19:G19"/>
    <mergeCell ref="G50:H50"/>
    <mergeCell ref="G51:H51"/>
    <mergeCell ref="F45:H46"/>
    <mergeCell ref="F22:G22"/>
    <mergeCell ref="F24:G24"/>
    <mergeCell ref="F25:G25"/>
    <mergeCell ref="F35:H35"/>
    <mergeCell ref="F32:H32"/>
    <mergeCell ref="F26:G26"/>
    <mergeCell ref="F27:G27"/>
    <mergeCell ref="K45:K46"/>
    <mergeCell ref="J45:J46"/>
    <mergeCell ref="I45:I46"/>
    <mergeCell ref="F44:H44"/>
    <mergeCell ref="F36:H37"/>
    <mergeCell ref="F38:H38"/>
    <mergeCell ref="G41:H41"/>
    <mergeCell ref="K36:K37"/>
    <mergeCell ref="J36:J37"/>
    <mergeCell ref="F43:H43"/>
    <mergeCell ref="D48:D49"/>
    <mergeCell ref="C48:C49"/>
    <mergeCell ref="A48:A49"/>
    <mergeCell ref="E48:E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&amp;R&amp;8人　口　　　　35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55"/>
  <sheetViews>
    <sheetView workbookViewId="0" topLeftCell="A1">
      <selection activeCell="M25" sqref="M25"/>
    </sheetView>
  </sheetViews>
  <sheetFormatPr defaultColWidth="9.00390625" defaultRowHeight="13.5"/>
  <cols>
    <col min="1" max="1" width="8.125" style="2" customWidth="1"/>
    <col min="2" max="2" width="2.50390625" style="2" customWidth="1"/>
    <col min="3" max="5" width="10.00390625" style="2" customWidth="1"/>
    <col min="6" max="6" width="2.50390625" style="2" customWidth="1"/>
    <col min="7" max="7" width="5.625" style="2" customWidth="1"/>
    <col min="8" max="8" width="3.125" style="2" customWidth="1"/>
    <col min="9" max="11" width="10.00390625" style="2" customWidth="1"/>
    <col min="12" max="16384" width="9.00390625" style="2" customWidth="1"/>
  </cols>
  <sheetData>
    <row r="1" spans="1:11" ht="26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2.5" customHeight="1">
      <c r="A2" s="33" t="s">
        <v>356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3.5">
      <c r="A3" s="21"/>
      <c r="B3" s="18"/>
      <c r="C3" s="18"/>
      <c r="D3" s="18"/>
      <c r="E3" s="18"/>
      <c r="F3" s="18"/>
      <c r="G3" s="18"/>
      <c r="H3" s="18"/>
      <c r="I3" s="18"/>
      <c r="J3" s="142"/>
      <c r="K3" s="203" t="s">
        <v>260</v>
      </c>
    </row>
    <row r="4" spans="1:11" ht="22.5" customHeight="1">
      <c r="A4" s="283" t="s">
        <v>183</v>
      </c>
      <c r="B4" s="284"/>
      <c r="C4" s="65" t="s">
        <v>117</v>
      </c>
      <c r="D4" s="63" t="s">
        <v>9</v>
      </c>
      <c r="E4" s="60" t="s">
        <v>10</v>
      </c>
      <c r="F4" s="282" t="s">
        <v>183</v>
      </c>
      <c r="G4" s="283"/>
      <c r="H4" s="284"/>
      <c r="I4" s="65" t="s">
        <v>117</v>
      </c>
      <c r="J4" s="63" t="s">
        <v>9</v>
      </c>
      <c r="K4" s="60" t="s">
        <v>10</v>
      </c>
    </row>
    <row r="5" spans="1:11" ht="6" customHeight="1">
      <c r="A5" s="137"/>
      <c r="B5" s="149"/>
      <c r="C5" s="137"/>
      <c r="D5" s="137"/>
      <c r="E5" s="137"/>
      <c r="F5" s="148"/>
      <c r="G5" s="137"/>
      <c r="H5" s="149"/>
      <c r="I5" s="137"/>
      <c r="J5" s="137"/>
      <c r="K5" s="137"/>
    </row>
    <row r="6" spans="1:11" ht="13.5">
      <c r="A6" s="3" t="s">
        <v>346</v>
      </c>
      <c r="B6" s="170" t="s">
        <v>118</v>
      </c>
      <c r="C6" s="26">
        <f>SUM(C8:C12)</f>
        <v>11733</v>
      </c>
      <c r="D6" s="26">
        <f>SUM(D8:D12)</f>
        <v>5923</v>
      </c>
      <c r="E6" s="26">
        <f>SUM(E8:E12)</f>
        <v>5810</v>
      </c>
      <c r="F6" s="249" t="s">
        <v>347</v>
      </c>
      <c r="G6" s="250"/>
      <c r="H6" s="170" t="s">
        <v>118</v>
      </c>
      <c r="I6" s="19">
        <f>SUM(I8:I12)</f>
        <v>2220</v>
      </c>
      <c r="J6" s="19">
        <f>SUM(J8:J12)</f>
        <v>594</v>
      </c>
      <c r="K6" s="19">
        <f>SUM(K8:K12)</f>
        <v>1626</v>
      </c>
    </row>
    <row r="7" spans="1:11" ht="3.75" customHeight="1">
      <c r="A7" s="127"/>
      <c r="B7" s="121"/>
      <c r="C7" s="102"/>
      <c r="D7" s="102"/>
      <c r="E7" s="102"/>
      <c r="F7" s="129"/>
      <c r="G7" s="127"/>
      <c r="H7" s="121"/>
      <c r="I7" s="103"/>
      <c r="J7" s="103"/>
      <c r="K7" s="103"/>
    </row>
    <row r="8" spans="1:11" ht="13.5">
      <c r="A8" s="127">
        <v>55</v>
      </c>
      <c r="B8" s="121"/>
      <c r="C8" s="102">
        <f>D8+E8</f>
        <v>1986</v>
      </c>
      <c r="D8" s="128">
        <v>1026</v>
      </c>
      <c r="E8" s="128">
        <v>960</v>
      </c>
      <c r="F8" s="280">
        <v>85</v>
      </c>
      <c r="G8" s="281"/>
      <c r="H8" s="121"/>
      <c r="I8" s="103">
        <f>J8+K8</f>
        <v>558</v>
      </c>
      <c r="J8" s="128">
        <v>172</v>
      </c>
      <c r="K8" s="128">
        <v>386</v>
      </c>
    </row>
    <row r="9" spans="1:11" ht="13.5">
      <c r="A9" s="127">
        <v>56</v>
      </c>
      <c r="B9" s="121"/>
      <c r="C9" s="102">
        <f>D9+E9</f>
        <v>2145</v>
      </c>
      <c r="D9" s="128">
        <v>1070</v>
      </c>
      <c r="E9" s="128">
        <v>1075</v>
      </c>
      <c r="F9" s="280">
        <v>86</v>
      </c>
      <c r="G9" s="281"/>
      <c r="H9" s="121"/>
      <c r="I9" s="103">
        <f>J9+K9</f>
        <v>439</v>
      </c>
      <c r="J9" s="128">
        <v>113</v>
      </c>
      <c r="K9" s="128">
        <v>326</v>
      </c>
    </row>
    <row r="10" spans="1:11" ht="13.5">
      <c r="A10" s="127">
        <v>57</v>
      </c>
      <c r="B10" s="121"/>
      <c r="C10" s="102">
        <f>D10+E10</f>
        <v>2328</v>
      </c>
      <c r="D10" s="128">
        <v>1175</v>
      </c>
      <c r="E10" s="128">
        <v>1153</v>
      </c>
      <c r="F10" s="280">
        <v>87</v>
      </c>
      <c r="G10" s="281"/>
      <c r="H10" s="121"/>
      <c r="I10" s="103">
        <f>J10+K10</f>
        <v>471</v>
      </c>
      <c r="J10" s="128">
        <v>126</v>
      </c>
      <c r="K10" s="128">
        <v>345</v>
      </c>
    </row>
    <row r="11" spans="1:11" ht="13.5">
      <c r="A11" s="127">
        <v>58</v>
      </c>
      <c r="B11" s="121"/>
      <c r="C11" s="102">
        <f>D11+E11</f>
        <v>2548</v>
      </c>
      <c r="D11" s="128">
        <v>1273</v>
      </c>
      <c r="E11" s="128">
        <v>1275</v>
      </c>
      <c r="F11" s="280">
        <v>88</v>
      </c>
      <c r="G11" s="281"/>
      <c r="H11" s="121"/>
      <c r="I11" s="103">
        <f>J11+K11</f>
        <v>415</v>
      </c>
      <c r="J11" s="128">
        <v>107</v>
      </c>
      <c r="K11" s="128">
        <v>308</v>
      </c>
    </row>
    <row r="12" spans="1:11" ht="13.5">
      <c r="A12" s="127">
        <v>59</v>
      </c>
      <c r="B12" s="121"/>
      <c r="C12" s="102">
        <f>D12+E12</f>
        <v>2726</v>
      </c>
      <c r="D12" s="128">
        <v>1379</v>
      </c>
      <c r="E12" s="128">
        <v>1347</v>
      </c>
      <c r="F12" s="280">
        <v>89</v>
      </c>
      <c r="G12" s="281"/>
      <c r="H12" s="121"/>
      <c r="I12" s="103">
        <f>J12+K12</f>
        <v>337</v>
      </c>
      <c r="J12" s="128">
        <v>76</v>
      </c>
      <c r="K12" s="128">
        <v>261</v>
      </c>
    </row>
    <row r="13" spans="1:11" ht="6" customHeight="1">
      <c r="A13" s="127"/>
      <c r="B13" s="121"/>
      <c r="C13" s="102"/>
      <c r="D13" s="102"/>
      <c r="E13" s="102"/>
      <c r="F13" s="129"/>
      <c r="G13" s="127"/>
      <c r="H13" s="121"/>
      <c r="I13" s="103"/>
      <c r="J13" s="102"/>
      <c r="K13" s="102"/>
    </row>
    <row r="14" spans="1:11" ht="13.5">
      <c r="A14" s="3" t="s">
        <v>348</v>
      </c>
      <c r="B14" s="130"/>
      <c r="C14" s="26">
        <f>SUM(C16:C20)</f>
        <v>11865</v>
      </c>
      <c r="D14" s="26">
        <f>SUM(D16:D20)</f>
        <v>5729</v>
      </c>
      <c r="E14" s="26">
        <f>SUM(E16:E20)</f>
        <v>6136</v>
      </c>
      <c r="F14" s="249" t="s">
        <v>349</v>
      </c>
      <c r="G14" s="250"/>
      <c r="H14" s="130"/>
      <c r="I14" s="19">
        <f>SUM(I16:I20)</f>
        <v>929</v>
      </c>
      <c r="J14" s="26">
        <f>SUM(J16:J20)</f>
        <v>214</v>
      </c>
      <c r="K14" s="26">
        <f>SUM(K16:K20)</f>
        <v>715</v>
      </c>
    </row>
    <row r="15" spans="1:11" ht="3.75" customHeight="1">
      <c r="A15" s="127"/>
      <c r="B15" s="121"/>
      <c r="C15" s="102"/>
      <c r="D15" s="102"/>
      <c r="E15" s="102"/>
      <c r="F15" s="129"/>
      <c r="G15" s="127"/>
      <c r="H15" s="121"/>
      <c r="I15" s="103"/>
      <c r="J15" s="102"/>
      <c r="K15" s="102"/>
    </row>
    <row r="16" spans="1:11" ht="13.5">
      <c r="A16" s="127">
        <v>60</v>
      </c>
      <c r="B16" s="121"/>
      <c r="C16" s="102">
        <f>D16+E16</f>
        <v>2812</v>
      </c>
      <c r="D16" s="128">
        <v>1308</v>
      </c>
      <c r="E16" s="128">
        <v>1504</v>
      </c>
      <c r="F16" s="280">
        <v>90</v>
      </c>
      <c r="G16" s="281"/>
      <c r="H16" s="121"/>
      <c r="I16" s="103">
        <f>J16+K16</f>
        <v>245</v>
      </c>
      <c r="J16" s="128">
        <v>55</v>
      </c>
      <c r="K16" s="128">
        <v>190</v>
      </c>
    </row>
    <row r="17" spans="1:11" ht="13.5">
      <c r="A17" s="127">
        <v>61</v>
      </c>
      <c r="B17" s="121"/>
      <c r="C17" s="102">
        <f>D17+E17</f>
        <v>2880</v>
      </c>
      <c r="D17" s="128">
        <v>1463</v>
      </c>
      <c r="E17" s="128">
        <v>1417</v>
      </c>
      <c r="F17" s="280">
        <v>91</v>
      </c>
      <c r="G17" s="281"/>
      <c r="H17" s="121"/>
      <c r="I17" s="103">
        <f>J17+K17</f>
        <v>229</v>
      </c>
      <c r="J17" s="128">
        <v>50</v>
      </c>
      <c r="K17" s="128">
        <v>179</v>
      </c>
    </row>
    <row r="18" spans="1:11" ht="13.5">
      <c r="A18" s="127">
        <v>62</v>
      </c>
      <c r="B18" s="121"/>
      <c r="C18" s="102">
        <f>D18+E18</f>
        <v>2066</v>
      </c>
      <c r="D18" s="128">
        <v>993</v>
      </c>
      <c r="E18" s="128">
        <v>1073</v>
      </c>
      <c r="F18" s="280">
        <v>92</v>
      </c>
      <c r="G18" s="281"/>
      <c r="H18" s="121"/>
      <c r="I18" s="103">
        <f>J18+K18</f>
        <v>161</v>
      </c>
      <c r="J18" s="128">
        <v>30</v>
      </c>
      <c r="K18" s="128">
        <v>131</v>
      </c>
    </row>
    <row r="19" spans="1:11" ht="13.5">
      <c r="A19" s="127">
        <v>63</v>
      </c>
      <c r="B19" s="121"/>
      <c r="C19" s="102">
        <f>D19+E19</f>
        <v>1855</v>
      </c>
      <c r="D19" s="128">
        <v>887</v>
      </c>
      <c r="E19" s="128">
        <v>968</v>
      </c>
      <c r="F19" s="280">
        <v>93</v>
      </c>
      <c r="G19" s="281"/>
      <c r="H19" s="121"/>
      <c r="I19" s="103">
        <f>J19+K19</f>
        <v>166</v>
      </c>
      <c r="J19" s="128">
        <v>41</v>
      </c>
      <c r="K19" s="128">
        <v>125</v>
      </c>
    </row>
    <row r="20" spans="1:11" ht="13.5">
      <c r="A20" s="127">
        <v>64</v>
      </c>
      <c r="B20" s="121"/>
      <c r="C20" s="102">
        <f>D20+E20</f>
        <v>2252</v>
      </c>
      <c r="D20" s="128">
        <v>1078</v>
      </c>
      <c r="E20" s="128">
        <v>1174</v>
      </c>
      <c r="F20" s="280">
        <v>94</v>
      </c>
      <c r="G20" s="281"/>
      <c r="H20" s="121"/>
      <c r="I20" s="103">
        <f>J20+K20</f>
        <v>128</v>
      </c>
      <c r="J20" s="128">
        <v>38</v>
      </c>
      <c r="K20" s="128">
        <v>90</v>
      </c>
    </row>
    <row r="21" spans="1:11" ht="6" customHeight="1">
      <c r="A21" s="127"/>
      <c r="B21" s="121"/>
      <c r="C21" s="102"/>
      <c r="D21" s="102"/>
      <c r="E21" s="102"/>
      <c r="F21" s="129"/>
      <c r="G21" s="127"/>
      <c r="H21" s="121"/>
      <c r="I21" s="103"/>
      <c r="J21" s="102"/>
      <c r="K21" s="102"/>
    </row>
    <row r="22" spans="1:11" ht="13.5">
      <c r="A22" s="3" t="s">
        <v>350</v>
      </c>
      <c r="B22" s="130"/>
      <c r="C22" s="26">
        <f>SUM(C24:C28)</f>
        <v>10847</v>
      </c>
      <c r="D22" s="26">
        <f>SUM(D24:D28)</f>
        <v>5138</v>
      </c>
      <c r="E22" s="26">
        <f>SUM(E24:E28)</f>
        <v>5709</v>
      </c>
      <c r="F22" s="249" t="s">
        <v>351</v>
      </c>
      <c r="G22" s="250"/>
      <c r="H22" s="130"/>
      <c r="I22" s="19">
        <f>SUM(I24:I28)</f>
        <v>275</v>
      </c>
      <c r="J22" s="26">
        <f>SUM(J24:J28)</f>
        <v>49</v>
      </c>
      <c r="K22" s="26">
        <f>SUM(K24:K28)</f>
        <v>226</v>
      </c>
    </row>
    <row r="23" spans="1:11" ht="3.75" customHeight="1">
      <c r="A23" s="127"/>
      <c r="B23" s="121"/>
      <c r="C23" s="102"/>
      <c r="D23" s="102"/>
      <c r="E23" s="102"/>
      <c r="F23" s="129"/>
      <c r="G23" s="127"/>
      <c r="H23" s="121"/>
      <c r="I23" s="103"/>
      <c r="J23" s="102"/>
      <c r="K23" s="102"/>
    </row>
    <row r="24" spans="1:11" ht="13.5">
      <c r="A24" s="127">
        <v>65</v>
      </c>
      <c r="B24" s="121"/>
      <c r="C24" s="102">
        <f>D24+E24</f>
        <v>2395</v>
      </c>
      <c r="D24" s="128">
        <v>1128</v>
      </c>
      <c r="E24" s="128">
        <v>1267</v>
      </c>
      <c r="F24" s="280">
        <v>95</v>
      </c>
      <c r="G24" s="281"/>
      <c r="H24" s="121"/>
      <c r="I24" s="103">
        <f>J24+K24</f>
        <v>84</v>
      </c>
      <c r="J24" s="128">
        <v>10</v>
      </c>
      <c r="K24" s="128">
        <v>74</v>
      </c>
    </row>
    <row r="25" spans="1:11" ht="13.5">
      <c r="A25" s="127">
        <v>66</v>
      </c>
      <c r="B25" s="121"/>
      <c r="C25" s="102">
        <f>D25+E25</f>
        <v>2273</v>
      </c>
      <c r="D25" s="128">
        <v>1132</v>
      </c>
      <c r="E25" s="128">
        <v>1141</v>
      </c>
      <c r="F25" s="280">
        <v>96</v>
      </c>
      <c r="G25" s="281"/>
      <c r="H25" s="121"/>
      <c r="I25" s="103">
        <f>J25+K25</f>
        <v>77</v>
      </c>
      <c r="J25" s="128">
        <v>17</v>
      </c>
      <c r="K25" s="128">
        <v>60</v>
      </c>
    </row>
    <row r="26" spans="1:11" ht="13.5">
      <c r="A26" s="127">
        <v>67</v>
      </c>
      <c r="B26" s="121"/>
      <c r="C26" s="102">
        <f>D26+E26</f>
        <v>2260</v>
      </c>
      <c r="D26" s="128">
        <v>1072</v>
      </c>
      <c r="E26" s="128">
        <v>1188</v>
      </c>
      <c r="F26" s="280">
        <v>97</v>
      </c>
      <c r="G26" s="281"/>
      <c r="H26" s="121"/>
      <c r="I26" s="103">
        <f>J26+K26</f>
        <v>56</v>
      </c>
      <c r="J26" s="128">
        <v>12</v>
      </c>
      <c r="K26" s="128">
        <v>44</v>
      </c>
    </row>
    <row r="27" spans="1:11" ht="13.5">
      <c r="A27" s="127">
        <v>68</v>
      </c>
      <c r="B27" s="121"/>
      <c r="C27" s="102">
        <f>D27+E27</f>
        <v>2027</v>
      </c>
      <c r="D27" s="128">
        <v>948</v>
      </c>
      <c r="E27" s="128">
        <v>1079</v>
      </c>
      <c r="F27" s="280">
        <v>98</v>
      </c>
      <c r="G27" s="281"/>
      <c r="H27" s="121"/>
      <c r="I27" s="103">
        <f>J27+K27</f>
        <v>32</v>
      </c>
      <c r="J27" s="128">
        <v>5</v>
      </c>
      <c r="K27" s="128">
        <v>27</v>
      </c>
    </row>
    <row r="28" spans="1:11" ht="13.5">
      <c r="A28" s="127">
        <v>69</v>
      </c>
      <c r="B28" s="121"/>
      <c r="C28" s="102">
        <f>D28+E28</f>
        <v>1892</v>
      </c>
      <c r="D28" s="128">
        <v>858</v>
      </c>
      <c r="E28" s="128">
        <v>1034</v>
      </c>
      <c r="F28" s="280">
        <v>99</v>
      </c>
      <c r="G28" s="281"/>
      <c r="H28" s="121"/>
      <c r="I28" s="103">
        <f>J28+K28</f>
        <v>26</v>
      </c>
      <c r="J28" s="128">
        <v>5</v>
      </c>
      <c r="K28" s="128">
        <v>21</v>
      </c>
    </row>
    <row r="29" spans="1:11" ht="6" customHeight="1">
      <c r="A29" s="127"/>
      <c r="B29" s="121"/>
      <c r="C29" s="102"/>
      <c r="D29" s="102"/>
      <c r="E29" s="102"/>
      <c r="F29" s="120"/>
      <c r="G29" s="100"/>
      <c r="H29" s="121"/>
      <c r="I29" s="103"/>
      <c r="J29" s="102"/>
      <c r="K29" s="102"/>
    </row>
    <row r="30" spans="1:11" ht="13.5">
      <c r="A30" s="3" t="s">
        <v>352</v>
      </c>
      <c r="B30" s="130"/>
      <c r="C30" s="26">
        <f>SUM(C32:C36)</f>
        <v>8637</v>
      </c>
      <c r="D30" s="26">
        <f>SUM(D32:D36)</f>
        <v>3947</v>
      </c>
      <c r="E30" s="26">
        <f>SUM(E32:E36)</f>
        <v>4690</v>
      </c>
      <c r="F30" s="249" t="s">
        <v>184</v>
      </c>
      <c r="G30" s="250"/>
      <c r="H30" s="240"/>
      <c r="I30" s="19">
        <f>J30+K30</f>
        <v>36</v>
      </c>
      <c r="J30" s="26">
        <v>4</v>
      </c>
      <c r="K30" s="26">
        <v>32</v>
      </c>
    </row>
    <row r="31" spans="1:11" ht="3.75" customHeight="1">
      <c r="A31" s="127"/>
      <c r="B31" s="121"/>
      <c r="C31" s="102"/>
      <c r="D31" s="102"/>
      <c r="E31" s="102"/>
      <c r="F31" s="129"/>
      <c r="G31" s="127"/>
      <c r="H31" s="51"/>
      <c r="I31" s="103"/>
      <c r="J31" s="102"/>
      <c r="K31" s="102"/>
    </row>
    <row r="32" spans="1:11" ht="13.5">
      <c r="A32" s="127">
        <v>70</v>
      </c>
      <c r="B32" s="121"/>
      <c r="C32" s="102">
        <f>D32+E32</f>
        <v>1733</v>
      </c>
      <c r="D32" s="128">
        <v>791</v>
      </c>
      <c r="E32" s="128">
        <v>942</v>
      </c>
      <c r="F32" s="280"/>
      <c r="G32" s="281"/>
      <c r="H32" s="239"/>
      <c r="I32" s="103"/>
      <c r="J32" s="103"/>
      <c r="K32" s="103"/>
    </row>
    <row r="33" spans="1:11" ht="13.5">
      <c r="A33" s="127">
        <v>71</v>
      </c>
      <c r="B33" s="121"/>
      <c r="C33" s="102">
        <f>D33+E33</f>
        <v>1839</v>
      </c>
      <c r="D33" s="128">
        <v>824</v>
      </c>
      <c r="E33" s="128">
        <v>1015</v>
      </c>
      <c r="F33" s="245" t="s">
        <v>123</v>
      </c>
      <c r="G33" s="246"/>
      <c r="H33" s="247"/>
      <c r="I33" s="103" t="s">
        <v>353</v>
      </c>
      <c r="J33" s="103" t="s">
        <v>353</v>
      </c>
      <c r="K33" s="103" t="s">
        <v>353</v>
      </c>
    </row>
    <row r="34" spans="1:11" ht="13.5">
      <c r="A34" s="127">
        <v>72</v>
      </c>
      <c r="B34" s="121"/>
      <c r="C34" s="102">
        <f>D34+E34</f>
        <v>1784</v>
      </c>
      <c r="D34" s="128">
        <v>816</v>
      </c>
      <c r="E34" s="128">
        <v>968</v>
      </c>
      <c r="F34" s="248" t="s">
        <v>119</v>
      </c>
      <c r="G34" s="224"/>
      <c r="H34" s="225"/>
      <c r="I34" s="138"/>
      <c r="J34" s="138"/>
      <c r="K34" s="138"/>
    </row>
    <row r="35" spans="1:11" ht="13.5" customHeight="1">
      <c r="A35" s="127">
        <v>73</v>
      </c>
      <c r="B35" s="121"/>
      <c r="C35" s="102">
        <f>D35+E35</f>
        <v>1751</v>
      </c>
      <c r="D35" s="128">
        <v>805</v>
      </c>
      <c r="E35" s="128">
        <v>946</v>
      </c>
      <c r="F35" s="259" t="s">
        <v>261</v>
      </c>
      <c r="G35" s="260"/>
      <c r="H35" s="261"/>
      <c r="I35" s="103">
        <f>J35+K35</f>
        <v>22759</v>
      </c>
      <c r="J35" s="103">
        <f>SUM('1 人口 4'!D14,'1 人口 4'!D22,'1 人口 4'!D30)</f>
        <v>11580</v>
      </c>
      <c r="K35" s="103">
        <f>SUM('1 人口 4'!E14,'1 人口 4'!E22,'1 人口 4'!E30)</f>
        <v>11179</v>
      </c>
    </row>
    <row r="36" spans="1:11" ht="13.5" customHeight="1">
      <c r="A36" s="127">
        <v>74</v>
      </c>
      <c r="B36" s="121"/>
      <c r="C36" s="102">
        <f>D36+E36</f>
        <v>1530</v>
      </c>
      <c r="D36" s="128">
        <v>711</v>
      </c>
      <c r="E36" s="128">
        <v>819</v>
      </c>
      <c r="F36" s="259" t="s">
        <v>262</v>
      </c>
      <c r="G36" s="260"/>
      <c r="H36" s="261"/>
      <c r="I36" s="227">
        <f>J36+K36</f>
        <v>117413</v>
      </c>
      <c r="J36" s="264">
        <f>SUM('1 人口 4'!D38,'1 人口 4'!D46,'1 人口 4'!J6,'1 人口 4'!J14,'1 人口 4'!J22,'1 人口 4'!J30,'1 人口 4'!J38,'1 人口 4'!J46,D6,D14)</f>
        <v>60952</v>
      </c>
      <c r="K36" s="264">
        <f>SUM('1 人口 4'!E38,'1 人口 4'!E46,'1 人口 4'!K6,'1 人口 4'!K14,'1 人口 4'!K22,'1 人口 4'!K30,'1 人口 4'!K38,'1 人口 4'!K46,E6,E14)</f>
        <v>56461</v>
      </c>
    </row>
    <row r="37" spans="1:11" ht="6" customHeight="1">
      <c r="A37" s="127"/>
      <c r="B37" s="121"/>
      <c r="C37" s="102"/>
      <c r="D37" s="102"/>
      <c r="E37" s="102"/>
      <c r="F37" s="259"/>
      <c r="G37" s="260"/>
      <c r="H37" s="261"/>
      <c r="I37" s="227"/>
      <c r="J37" s="264"/>
      <c r="K37" s="264"/>
    </row>
    <row r="38" spans="1:11" ht="13.5">
      <c r="A38" s="3" t="s">
        <v>354</v>
      </c>
      <c r="B38" s="130"/>
      <c r="C38" s="26">
        <f>SUM(C40:C44)</f>
        <v>6542</v>
      </c>
      <c r="D38" s="26">
        <f>SUM(D40:D44)</f>
        <v>2870</v>
      </c>
      <c r="E38" s="26">
        <f>SUM(E40:E44)</f>
        <v>3672</v>
      </c>
      <c r="F38" s="259" t="s">
        <v>263</v>
      </c>
      <c r="G38" s="260"/>
      <c r="H38" s="261"/>
      <c r="I38" s="73">
        <f>J38+K38</f>
        <v>33520</v>
      </c>
      <c r="J38" s="124">
        <f>J40+J41</f>
        <v>14393</v>
      </c>
      <c r="K38" s="124">
        <f>K40+K41</f>
        <v>19127</v>
      </c>
    </row>
    <row r="39" spans="1:11" ht="3.75" customHeight="1">
      <c r="A39" s="127"/>
      <c r="B39" s="121"/>
      <c r="C39" s="102"/>
      <c r="D39" s="102"/>
      <c r="E39" s="102"/>
      <c r="F39" s="129"/>
      <c r="G39" s="43"/>
      <c r="H39" s="79"/>
      <c r="I39" s="102"/>
      <c r="J39" s="103"/>
      <c r="K39" s="103"/>
    </row>
    <row r="40" spans="1:11" ht="13.5" customHeight="1">
      <c r="A40" s="127">
        <v>75</v>
      </c>
      <c r="B40" s="121"/>
      <c r="C40" s="102">
        <f>D40+E40</f>
        <v>1481</v>
      </c>
      <c r="D40" s="128">
        <v>668</v>
      </c>
      <c r="E40" s="128">
        <v>813</v>
      </c>
      <c r="F40" s="144"/>
      <c r="G40" s="262" t="s">
        <v>120</v>
      </c>
      <c r="H40" s="226"/>
      <c r="I40" s="103">
        <f>J40+K40</f>
        <v>19484</v>
      </c>
      <c r="J40" s="103">
        <f>D22+D30</f>
        <v>9085</v>
      </c>
      <c r="K40" s="103">
        <f>E22+E30</f>
        <v>10399</v>
      </c>
    </row>
    <row r="41" spans="1:11" ht="13.5" customHeight="1">
      <c r="A41" s="127">
        <v>76</v>
      </c>
      <c r="B41" s="121"/>
      <c r="C41" s="102">
        <f>D41+E41</f>
        <v>1472</v>
      </c>
      <c r="D41" s="128">
        <v>665</v>
      </c>
      <c r="E41" s="128">
        <v>807</v>
      </c>
      <c r="F41" s="144"/>
      <c r="G41" s="262" t="s">
        <v>121</v>
      </c>
      <c r="H41" s="263"/>
      <c r="I41" s="103">
        <f>J41+K41</f>
        <v>14036</v>
      </c>
      <c r="J41" s="103">
        <f>D38+D46+J6+J14+J22+J30</f>
        <v>5308</v>
      </c>
      <c r="K41" s="103">
        <f>E38+E46+K6+K14+K22+K30</f>
        <v>8728</v>
      </c>
    </row>
    <row r="42" spans="1:11" ht="13.5" customHeight="1">
      <c r="A42" s="127">
        <v>77</v>
      </c>
      <c r="B42" s="121"/>
      <c r="C42" s="102">
        <f>D42+E42</f>
        <v>1324</v>
      </c>
      <c r="D42" s="128">
        <v>564</v>
      </c>
      <c r="E42" s="128">
        <v>760</v>
      </c>
      <c r="F42" s="145"/>
      <c r="G42" s="43"/>
      <c r="H42" s="79"/>
      <c r="I42" s="139"/>
      <c r="J42" s="139"/>
      <c r="K42" s="139"/>
    </row>
    <row r="43" spans="1:11" ht="13.5" customHeight="1">
      <c r="A43" s="127">
        <v>78</v>
      </c>
      <c r="B43" s="121"/>
      <c r="C43" s="102">
        <f>D43+E43</f>
        <v>1178</v>
      </c>
      <c r="D43" s="128">
        <v>514</v>
      </c>
      <c r="E43" s="128">
        <v>664</v>
      </c>
      <c r="F43" s="253" t="s">
        <v>304</v>
      </c>
      <c r="G43" s="254"/>
      <c r="H43" s="255"/>
      <c r="I43" s="243"/>
      <c r="J43" s="244"/>
      <c r="K43" s="244"/>
    </row>
    <row r="44" spans="1:11" ht="13.5" customHeight="1">
      <c r="A44" s="127">
        <v>79</v>
      </c>
      <c r="B44" s="121"/>
      <c r="C44" s="102">
        <f>D44+E44</f>
        <v>1087</v>
      </c>
      <c r="D44" s="128">
        <v>459</v>
      </c>
      <c r="E44" s="128">
        <v>628</v>
      </c>
      <c r="F44" s="259" t="s">
        <v>261</v>
      </c>
      <c r="G44" s="260"/>
      <c r="H44" s="261"/>
      <c r="I44" s="140">
        <f>I35/'1 人口 4'!C6*100</f>
        <v>13.103079013426063</v>
      </c>
      <c r="J44" s="140">
        <f>J35/'1 人口 4'!D6*100</f>
        <v>13.321829163071614</v>
      </c>
      <c r="K44" s="140">
        <f>K35/'1 人口 4'!E6*100</f>
        <v>12.883930526582688</v>
      </c>
    </row>
    <row r="45" spans="1:11" ht="6" customHeight="1">
      <c r="A45" s="127"/>
      <c r="B45" s="121"/>
      <c r="C45" s="102"/>
      <c r="D45" s="102"/>
      <c r="E45" s="102"/>
      <c r="F45" s="259" t="s">
        <v>262</v>
      </c>
      <c r="G45" s="260"/>
      <c r="H45" s="261"/>
      <c r="I45" s="258">
        <f>I36/'1 人口 4'!C6*100</f>
        <v>67.59839255693987</v>
      </c>
      <c r="J45" s="258">
        <f>J36/'1 人口 4'!D6*100</f>
        <v>70.12021857923497</v>
      </c>
      <c r="K45" s="258">
        <f>K36/'1 人口 4'!E6*100</f>
        <v>65.07197436813536</v>
      </c>
    </row>
    <row r="46" spans="1:11" ht="13.5">
      <c r="A46" s="3" t="s">
        <v>355</v>
      </c>
      <c r="B46" s="130"/>
      <c r="C46" s="26">
        <f>SUM(C48:C53)</f>
        <v>4034</v>
      </c>
      <c r="D46" s="26">
        <f>SUM(D48:D53)</f>
        <v>1577</v>
      </c>
      <c r="E46" s="26">
        <f>SUM(E48:E53)</f>
        <v>2457</v>
      </c>
      <c r="F46" s="259"/>
      <c r="G46" s="260"/>
      <c r="H46" s="261"/>
      <c r="I46" s="258"/>
      <c r="J46" s="258"/>
      <c r="K46" s="258"/>
    </row>
    <row r="47" spans="1:11" ht="3.75" customHeight="1">
      <c r="A47" s="127"/>
      <c r="B47" s="121"/>
      <c r="C47" s="102"/>
      <c r="D47" s="102"/>
      <c r="E47" s="102"/>
      <c r="F47" s="259" t="s">
        <v>263</v>
      </c>
      <c r="G47" s="260"/>
      <c r="H47" s="261"/>
      <c r="I47" s="228">
        <f>I38/'1 人口 4'!C6*100</f>
        <v>19.298528429634064</v>
      </c>
      <c r="J47" s="228">
        <f>J38/'1 人口 4'!D6*100</f>
        <v>16.557952257693415</v>
      </c>
      <c r="K47" s="228">
        <f>K38/'1 人口 4'!E6*100</f>
        <v>22.044095105281965</v>
      </c>
    </row>
    <row r="48" spans="1:11" ht="9.75" customHeight="1">
      <c r="A48" s="281">
        <v>80</v>
      </c>
      <c r="B48" s="121"/>
      <c r="C48" s="257">
        <f>D48+E48</f>
        <v>1064</v>
      </c>
      <c r="D48" s="256">
        <v>443</v>
      </c>
      <c r="E48" s="256">
        <v>621</v>
      </c>
      <c r="F48" s="259"/>
      <c r="G48" s="260"/>
      <c r="H48" s="261"/>
      <c r="I48" s="228"/>
      <c r="J48" s="228"/>
      <c r="K48" s="228"/>
    </row>
    <row r="49" spans="1:11" ht="3.75" customHeight="1">
      <c r="A49" s="281"/>
      <c r="B49" s="121"/>
      <c r="C49" s="257"/>
      <c r="D49" s="256"/>
      <c r="E49" s="256"/>
      <c r="F49" s="144"/>
      <c r="G49" s="43"/>
      <c r="H49" s="79"/>
      <c r="I49" s="40"/>
      <c r="J49" s="40"/>
      <c r="K49" s="40"/>
    </row>
    <row r="50" spans="1:11" ht="13.5">
      <c r="A50" s="127">
        <v>81</v>
      </c>
      <c r="B50" s="121"/>
      <c r="C50" s="102">
        <f>D50+E50</f>
        <v>862</v>
      </c>
      <c r="D50" s="128">
        <v>362</v>
      </c>
      <c r="E50" s="128">
        <v>500</v>
      </c>
      <c r="F50" s="144"/>
      <c r="G50" s="262" t="s">
        <v>120</v>
      </c>
      <c r="H50" s="238"/>
      <c r="I50" s="140">
        <f>I40/'1 人口 4'!C6*100</f>
        <v>11.21755751560233</v>
      </c>
      <c r="J50" s="140">
        <f>J40/'1 人口 4'!D6*100</f>
        <v>10.451538682772506</v>
      </c>
      <c r="K50" s="140">
        <f>K40/'1 人口 4'!E6*100</f>
        <v>11.984971244828104</v>
      </c>
    </row>
    <row r="51" spans="1:11" ht="13.5">
      <c r="A51" s="127">
        <v>82</v>
      </c>
      <c r="B51" s="121"/>
      <c r="C51" s="102">
        <f>D51+E51</f>
        <v>781</v>
      </c>
      <c r="D51" s="128">
        <v>304</v>
      </c>
      <c r="E51" s="128">
        <v>477</v>
      </c>
      <c r="F51" s="122"/>
      <c r="G51" s="262" t="s">
        <v>121</v>
      </c>
      <c r="H51" s="238"/>
      <c r="I51" s="140">
        <f>I41/'1 人口 4'!C6*100</f>
        <v>8.080970914031735</v>
      </c>
      <c r="J51" s="140">
        <f>J41/'1 人口 4'!D6*100</f>
        <v>6.106413574920909</v>
      </c>
      <c r="K51" s="140">
        <f>K41/'1 人口 4'!E6*100</f>
        <v>10.059123860453859</v>
      </c>
    </row>
    <row r="52" spans="1:11" ht="13.5">
      <c r="A52" s="127">
        <v>83</v>
      </c>
      <c r="B52" s="121"/>
      <c r="C52" s="102">
        <f>D52+E52</f>
        <v>729</v>
      </c>
      <c r="D52" s="128">
        <v>266</v>
      </c>
      <c r="E52" s="128">
        <v>463</v>
      </c>
      <c r="F52" s="145"/>
      <c r="G52" s="43"/>
      <c r="H52" s="79"/>
      <c r="I52" s="40"/>
      <c r="J52" s="40"/>
      <c r="K52" s="40"/>
    </row>
    <row r="53" spans="1:11" ht="13.5">
      <c r="A53" s="127">
        <v>84</v>
      </c>
      <c r="B53" s="121"/>
      <c r="C53" s="102">
        <f>D53+E53</f>
        <v>598</v>
      </c>
      <c r="D53" s="128">
        <v>202</v>
      </c>
      <c r="E53" s="128">
        <v>396</v>
      </c>
      <c r="F53" s="241" t="s">
        <v>122</v>
      </c>
      <c r="G53" s="278"/>
      <c r="H53" s="242"/>
      <c r="I53" s="141">
        <v>42.2</v>
      </c>
      <c r="J53" s="141">
        <v>40.9</v>
      </c>
      <c r="K53" s="141">
        <v>43.5</v>
      </c>
    </row>
    <row r="54" spans="1:11" ht="6" customHeight="1">
      <c r="A54" s="152"/>
      <c r="B54" s="132"/>
      <c r="C54" s="102"/>
      <c r="D54" s="102"/>
      <c r="E54" s="102"/>
      <c r="F54" s="146"/>
      <c r="G54" s="96"/>
      <c r="H54" s="52"/>
      <c r="I54" s="143"/>
      <c r="J54" s="143"/>
      <c r="K54" s="143"/>
    </row>
    <row r="55" spans="1:11" ht="13.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</sheetData>
  <mergeCells count="50">
    <mergeCell ref="F43:H43"/>
    <mergeCell ref="D48:D49"/>
    <mergeCell ref="C48:C49"/>
    <mergeCell ref="A48:A49"/>
    <mergeCell ref="E48:E49"/>
    <mergeCell ref="F27:G27"/>
    <mergeCell ref="K45:K46"/>
    <mergeCell ref="J45:J46"/>
    <mergeCell ref="I45:I46"/>
    <mergeCell ref="F44:H44"/>
    <mergeCell ref="F36:H37"/>
    <mergeCell ref="F38:H38"/>
    <mergeCell ref="G41:H41"/>
    <mergeCell ref="K36:K37"/>
    <mergeCell ref="J36:J37"/>
    <mergeCell ref="F19:G19"/>
    <mergeCell ref="G50:H50"/>
    <mergeCell ref="G51:H51"/>
    <mergeCell ref="F45:H46"/>
    <mergeCell ref="F22:G22"/>
    <mergeCell ref="F24:G24"/>
    <mergeCell ref="F25:G25"/>
    <mergeCell ref="F35:H35"/>
    <mergeCell ref="F32:H32"/>
    <mergeCell ref="F26:G26"/>
    <mergeCell ref="F28:G28"/>
    <mergeCell ref="F30:H30"/>
    <mergeCell ref="F20:G20"/>
    <mergeCell ref="F10:G10"/>
    <mergeCell ref="F11:G11"/>
    <mergeCell ref="F12:G12"/>
    <mergeCell ref="F14:G14"/>
    <mergeCell ref="F16:G16"/>
    <mergeCell ref="F17:G17"/>
    <mergeCell ref="F18:G18"/>
    <mergeCell ref="F6:G6"/>
    <mergeCell ref="A4:B4"/>
    <mergeCell ref="F4:H4"/>
    <mergeCell ref="F9:G9"/>
    <mergeCell ref="F8:G8"/>
    <mergeCell ref="F53:H53"/>
    <mergeCell ref="I43:K43"/>
    <mergeCell ref="F33:H33"/>
    <mergeCell ref="F34:H34"/>
    <mergeCell ref="G40:H40"/>
    <mergeCell ref="I36:I37"/>
    <mergeCell ref="K47:K48"/>
    <mergeCell ref="J47:J48"/>
    <mergeCell ref="I47:I48"/>
    <mergeCell ref="F47:H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&amp;R&amp;8人　口　　　　35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2010-03-08T05:01:46Z</cp:lastPrinted>
  <dcterms:created xsi:type="dcterms:W3CDTF">2003-04-30T06:34:41Z</dcterms:created>
  <dcterms:modified xsi:type="dcterms:W3CDTF">2010-03-16T01:14:24Z</dcterms:modified>
  <cp:category/>
  <cp:version/>
  <cp:contentType/>
  <cp:contentStatus/>
</cp:coreProperties>
</file>