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05" tabRatio="931" activeTab="1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  <sheet name="10表" sheetId="10" r:id="rId10"/>
  </sheets>
  <definedNames/>
  <calcPr fullCalcOnLoad="1"/>
</workbook>
</file>

<file path=xl/sharedStrings.xml><?xml version="1.0" encoding="utf-8"?>
<sst xmlns="http://schemas.openxmlformats.org/spreadsheetml/2006/main" count="597" uniqueCount="346">
  <si>
    <t>各年１月１日現在</t>
  </si>
  <si>
    <t>年</t>
  </si>
  <si>
    <t>当たり人員</t>
  </si>
  <si>
    <t>人　　口</t>
  </si>
  <si>
    <t>人口密度</t>
  </si>
  <si>
    <t>世 帯 数</t>
  </si>
  <si>
    <t>世帯数</t>
  </si>
  <si>
    <t>人　　　　　口</t>
  </si>
  <si>
    <t>総　　数</t>
  </si>
  <si>
    <t>男</t>
  </si>
  <si>
    <t>女</t>
  </si>
  <si>
    <t>総数</t>
  </si>
  <si>
    <t>富士見町</t>
  </si>
  <si>
    <t>1丁目</t>
  </si>
  <si>
    <t>2丁目</t>
  </si>
  <si>
    <t>3丁目</t>
  </si>
  <si>
    <t>4丁目</t>
  </si>
  <si>
    <t>5丁目</t>
  </si>
  <si>
    <t>6丁目</t>
  </si>
  <si>
    <t>7丁目</t>
  </si>
  <si>
    <t>柴崎町</t>
  </si>
  <si>
    <t>錦町</t>
  </si>
  <si>
    <t>羽衣町</t>
  </si>
  <si>
    <t>曙町</t>
  </si>
  <si>
    <t>高松町</t>
  </si>
  <si>
    <t>緑町</t>
  </si>
  <si>
    <t>栄町</t>
  </si>
  <si>
    <t>若葉町</t>
  </si>
  <si>
    <t>幸町</t>
  </si>
  <si>
    <t>柏町</t>
  </si>
  <si>
    <t>砂川町</t>
  </si>
  <si>
    <t>8丁目</t>
  </si>
  <si>
    <t>上砂町</t>
  </si>
  <si>
    <t>一番町</t>
  </si>
  <si>
    <t>西砂町</t>
  </si>
  <si>
    <t>増減数</t>
  </si>
  <si>
    <t>自　然　動　態</t>
  </si>
  <si>
    <t>出　生</t>
  </si>
  <si>
    <t>死　亡</t>
  </si>
  <si>
    <t>社　　会　　動　　態</t>
  </si>
  <si>
    <t>転　入</t>
  </si>
  <si>
    <t>転　出</t>
  </si>
  <si>
    <t>その他の増減</t>
  </si>
  <si>
    <t>対前年</t>
  </si>
  <si>
    <t>柴　崎　町</t>
  </si>
  <si>
    <t>錦　　　　町</t>
  </si>
  <si>
    <t>羽　衣　町</t>
  </si>
  <si>
    <t>高　松　町</t>
  </si>
  <si>
    <t>緑　　　　町</t>
  </si>
  <si>
    <t>栄　　　　町</t>
  </si>
  <si>
    <t>若　葉　町</t>
  </si>
  <si>
    <t>柏　　　　町</t>
  </si>
  <si>
    <t>砂　川　町</t>
  </si>
  <si>
    <t>上　砂　町</t>
  </si>
  <si>
    <t>西　砂　町</t>
  </si>
  <si>
    <t>韓　国</t>
  </si>
  <si>
    <t>朝　鮮</t>
  </si>
  <si>
    <t>中　国</t>
  </si>
  <si>
    <t>その他</t>
  </si>
  <si>
    <t>総　数</t>
  </si>
  <si>
    <t>地　　　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</si>
  <si>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</si>
  <si>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</si>
  <si>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</si>
  <si>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</si>
  <si>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</si>
  <si>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</si>
  <si>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</si>
  <si>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</si>
  <si>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</si>
  <si>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</si>
  <si>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</si>
  <si>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</si>
  <si>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市町村部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</si>
  <si>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</si>
  <si>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</si>
  <si>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</si>
  <si>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</si>
  <si>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</si>
  <si>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</si>
  <si>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</si>
  <si>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</si>
  <si>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</si>
  <si>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</si>
  <si>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</si>
  <si>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</si>
  <si>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</si>
  <si>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</si>
  <si>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</si>
  <si>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</si>
  <si>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</si>
  <si>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</si>
  <si>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</si>
  <si>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</si>
  <si>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</si>
  <si>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</si>
  <si>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</si>
  <si>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</si>
  <si>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</si>
  <si>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</si>
  <si>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</si>
  <si>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</si>
  <si>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</si>
  <si>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</si>
  <si>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</si>
  <si>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</si>
  <si>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</si>
  <si>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</si>
  <si>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</si>
  <si>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従前の住所なし</t>
  </si>
  <si>
    <t>区　　　部</t>
  </si>
  <si>
    <t>千葉県</t>
  </si>
  <si>
    <t>増加率(%)</t>
  </si>
  <si>
    <t>1   世   帯</t>
  </si>
  <si>
    <t>総数</t>
  </si>
  <si>
    <t>泉町</t>
  </si>
  <si>
    <t>総　　　数</t>
  </si>
  <si>
    <t>歳</t>
  </si>
  <si>
    <t>（再　　掲）</t>
  </si>
  <si>
    <t>65～74歳</t>
  </si>
  <si>
    <t>75歳以上</t>
  </si>
  <si>
    <t>平均年齢</t>
  </si>
  <si>
    <t>不　　　　　詳</t>
  </si>
  <si>
    <t>総　　　　数</t>
  </si>
  <si>
    <t>人　 口</t>
  </si>
  <si>
    <t>昭和 11</t>
  </si>
  <si>
    <t>平成  2</t>
  </si>
  <si>
    <t>対前年増減数 （人口）</t>
  </si>
  <si>
    <t>年　　　月</t>
  </si>
  <si>
    <t>出 生</t>
  </si>
  <si>
    <t>死 亡</t>
  </si>
  <si>
    <t>転 入</t>
  </si>
  <si>
    <t>転 出</t>
  </si>
  <si>
    <t>増 加</t>
  </si>
  <si>
    <t>減 少</t>
  </si>
  <si>
    <t>転 入 ・ 転 出</t>
  </si>
  <si>
    <t>増加数</t>
  </si>
  <si>
    <t>人　口</t>
  </si>
  <si>
    <t>増加率</t>
  </si>
  <si>
    <t>総　　　　　　　　　　　数</t>
  </si>
  <si>
    <t>対前年比(人口)</t>
  </si>
  <si>
    <t>曙　　　町</t>
  </si>
  <si>
    <t>幸　　　町</t>
  </si>
  <si>
    <t>一　番　町</t>
  </si>
  <si>
    <t>泉　　　町</t>
  </si>
  <si>
    <t>割合 （％）</t>
  </si>
  <si>
    <t>年　度</t>
  </si>
  <si>
    <t>戸　　　　　　　　　　　　　籍</t>
  </si>
  <si>
    <t>住　民　基　本　台　帳</t>
  </si>
  <si>
    <t>婚　姻</t>
  </si>
  <si>
    <t>離　婚</t>
  </si>
  <si>
    <t>転　籍</t>
  </si>
  <si>
    <t>転　居</t>
  </si>
  <si>
    <t>年齢 （歳）</t>
  </si>
  <si>
    <t>100歳 以上</t>
  </si>
  <si>
    <t>１　世　帯</t>
  </si>
  <si>
    <t>（人/ｋ㎡）</t>
  </si>
  <si>
    <t>年少人口（0～14歳）</t>
  </si>
  <si>
    <t>生産年齢人口（15～64歳）</t>
  </si>
  <si>
    <t>老年人口（65歳以上）</t>
  </si>
  <si>
    <t xml:space="preserve">     12</t>
  </si>
  <si>
    <t xml:space="preserve">     13</t>
  </si>
  <si>
    <t xml:space="preserve">     14</t>
  </si>
  <si>
    <t xml:space="preserve">     15</t>
  </si>
  <si>
    <t xml:space="preserve">     16</t>
  </si>
  <si>
    <t xml:space="preserve">     17</t>
  </si>
  <si>
    <t xml:space="preserve">     18</t>
  </si>
  <si>
    <t xml:space="preserve">     19</t>
  </si>
  <si>
    <t xml:space="preserve">     20</t>
  </si>
  <si>
    <t xml:space="preserve">     22</t>
  </si>
  <si>
    <t xml:space="preserve">     23</t>
  </si>
  <si>
    <t xml:space="preserve">     24</t>
  </si>
  <si>
    <t xml:space="preserve">     25</t>
  </si>
  <si>
    <t xml:space="preserve">     27</t>
  </si>
  <si>
    <t xml:space="preserve">     28</t>
  </si>
  <si>
    <t xml:space="preserve">     29</t>
  </si>
  <si>
    <t xml:space="preserve">     30</t>
  </si>
  <si>
    <t xml:space="preserve">     32</t>
  </si>
  <si>
    <t xml:space="preserve">     33</t>
  </si>
  <si>
    <t xml:space="preserve">     34</t>
  </si>
  <si>
    <t xml:space="preserve">     35</t>
  </si>
  <si>
    <t xml:space="preserve">     37</t>
  </si>
  <si>
    <t xml:space="preserve">     38</t>
  </si>
  <si>
    <t xml:space="preserve">     39</t>
  </si>
  <si>
    <t xml:space="preserve">     40</t>
  </si>
  <si>
    <t xml:space="preserve">     42</t>
  </si>
  <si>
    <t xml:space="preserve">     43</t>
  </si>
  <si>
    <t xml:space="preserve">     44</t>
  </si>
  <si>
    <t xml:space="preserve">     45</t>
  </si>
  <si>
    <t xml:space="preserve">     47</t>
  </si>
  <si>
    <t xml:space="preserve">     48</t>
  </si>
  <si>
    <t xml:space="preserve">     49</t>
  </si>
  <si>
    <t xml:space="preserve">     50</t>
  </si>
  <si>
    <t xml:space="preserve">     53</t>
  </si>
  <si>
    <t xml:space="preserve">     54</t>
  </si>
  <si>
    <t xml:space="preserve">     55</t>
  </si>
  <si>
    <t xml:space="preserve">     57</t>
  </si>
  <si>
    <t xml:space="preserve">     58</t>
  </si>
  <si>
    <t xml:space="preserve">     59</t>
  </si>
  <si>
    <t xml:space="preserve">     60</t>
  </si>
  <si>
    <t xml:space="preserve">     62</t>
  </si>
  <si>
    <t xml:space="preserve">     63</t>
  </si>
  <si>
    <t xml:space="preserve">     64</t>
  </si>
  <si>
    <t xml:space="preserve">     4</t>
  </si>
  <si>
    <t xml:space="preserve">     5</t>
  </si>
  <si>
    <t xml:space="preserve">     6</t>
  </si>
  <si>
    <t xml:space="preserve">     7</t>
  </si>
  <si>
    <t xml:space="preserve">     9</t>
  </si>
  <si>
    <t xml:space="preserve">     10</t>
  </si>
  <si>
    <t xml:space="preserve">     11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</si>
  <si>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</si>
  <si>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</si>
  <si>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</si>
  <si>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</si>
  <si>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</si>
  <si>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</si>
  <si>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</si>
  <si>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>（％）</t>
  </si>
  <si>
    <t xml:space="preserve">     21</t>
  </si>
  <si>
    <t>前年人口</t>
  </si>
  <si>
    <t>　15歳未満</t>
  </si>
  <si>
    <t>　15～64歳</t>
  </si>
  <si>
    <t>　65歳以上</t>
  </si>
  <si>
    <t>資料：市民生活部市民課</t>
  </si>
  <si>
    <t>資料：市民生活部市民課</t>
  </si>
  <si>
    <r>
      <t>（人/km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)</t>
    </r>
  </si>
  <si>
    <t xml:space="preserve">     51</t>
  </si>
  <si>
    <t xml:space="preserve">     12</t>
  </si>
  <si>
    <t xml:space="preserve">     52</t>
  </si>
  <si>
    <t xml:space="preserve">     16</t>
  </si>
  <si>
    <t xml:space="preserve">     56</t>
  </si>
  <si>
    <t xml:space="preserve">     21</t>
  </si>
  <si>
    <t xml:space="preserve">     61</t>
  </si>
  <si>
    <t xml:space="preserve">     26</t>
  </si>
  <si>
    <t xml:space="preserve">     3</t>
  </si>
  <si>
    <t xml:space="preserve">     31</t>
  </si>
  <si>
    <t xml:space="preserve">     8</t>
  </si>
  <si>
    <t xml:space="preserve">     36</t>
  </si>
  <si>
    <t xml:space="preserve">     13</t>
  </si>
  <si>
    <t xml:space="preserve">     41</t>
  </si>
  <si>
    <t xml:space="preserve">     18</t>
  </si>
  <si>
    <t xml:space="preserve">     19</t>
  </si>
  <si>
    <t xml:space="preserve">     46</t>
  </si>
  <si>
    <t>-</t>
  </si>
  <si>
    <t>－</t>
  </si>
  <si>
    <r>
      <t>年齢別割合</t>
    </r>
    <r>
      <rPr>
        <sz val="9"/>
        <rFont val="ＭＳ Ｐ明朝"/>
        <family val="1"/>
      </rPr>
      <t xml:space="preserve"> (%)</t>
    </r>
  </si>
  <si>
    <t>. 1</t>
  </si>
  <si>
    <t xml:space="preserve">  2</t>
  </si>
  <si>
    <t xml:space="preserve"> 10</t>
  </si>
  <si>
    <t xml:space="preserve"> 11</t>
  </si>
  <si>
    <t xml:space="preserve"> 12</t>
  </si>
  <si>
    <t>(</t>
  </si>
  <si>
    <t>)</t>
  </si>
  <si>
    <t>（</t>
  </si>
  <si>
    <t>）</t>
  </si>
  <si>
    <t>　注２：昭和38年5月1日に旧砂川町と合併したため、昭和39年以降は合併した数値である。</t>
  </si>
  <si>
    <t>　注１：この表の数値は、昭和32年までは旧食糧管理法による各年12月末日、同33年から42年までは旧住民登録</t>
  </si>
  <si>
    <t>　　　　法による各年1月1日及び同43年以降は住民基本台帳法による各年1月1日現在のものである。</t>
  </si>
  <si>
    <t>　注：外国人登録者数は含まない。</t>
  </si>
  <si>
    <t>　注：住民基本台帳による人口で、外国人登録者数は含まない。</t>
  </si>
  <si>
    <t>　注：戸籍欄の数値には、非本籍人届出数は含まない。</t>
  </si>
  <si>
    <t>　注：その他の増減中、増加は海外からの転入、帰化等、減少は海外への転出、職権消除等を指す。</t>
  </si>
  <si>
    <t>　注：（　　）は内数。</t>
  </si>
  <si>
    <t>　注３：外国人登録者数は含んでいない。</t>
  </si>
  <si>
    <t>資料：東京都総務局「住民基本台帳による東京都の世帯と人口」</t>
  </si>
  <si>
    <t xml:space="preserve">     22</t>
  </si>
  <si>
    <t xml:space="preserve">     23</t>
  </si>
  <si>
    <t>八王子市</t>
  </si>
  <si>
    <t>立川市</t>
  </si>
  <si>
    <t>武蔵野市</t>
  </si>
  <si>
    <t>三鷹市</t>
  </si>
  <si>
    <t>青梅市</t>
  </si>
  <si>
    <t xml:space="preserve"> 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</si>
  <si>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</si>
  <si>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</si>
  <si>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</si>
  <si>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</si>
  <si>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</si>
  <si>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</si>
  <si>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</si>
  <si>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</si>
  <si>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</si>
  <si>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</si>
  <si>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</si>
  <si>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</si>
  <si>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</si>
  <si>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</si>
  <si>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</si>
  <si>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</si>
  <si>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</si>
  <si>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</si>
  <si>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</si>
  <si>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</si>
  <si>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平成23年1月1日現在</t>
  </si>
  <si>
    <t>-</t>
  </si>
  <si>
    <t>平成23年1月1日現在</t>
  </si>
  <si>
    <t>平成23年</t>
  </si>
  <si>
    <t>25 ～ 29</t>
  </si>
  <si>
    <t>15 ～ 19</t>
  </si>
  <si>
    <t>45 ～ 49</t>
  </si>
  <si>
    <t>20 ～ 24</t>
  </si>
  <si>
    <t>50 ～ 54</t>
  </si>
  <si>
    <t>０ ～ ４</t>
  </si>
  <si>
    <t>30 ～ 34</t>
  </si>
  <si>
    <t>５ ～ ９</t>
  </si>
  <si>
    <t>35 ～ 39</t>
  </si>
  <si>
    <t>10 ～ 14</t>
  </si>
  <si>
    <t>40 ～ 44</t>
  </si>
  <si>
    <t>65 ～ 69</t>
  </si>
  <si>
    <t>95 ～ 99</t>
  </si>
  <si>
    <t>70 ～ 74</t>
  </si>
  <si>
    <t>55 ～ 59</t>
  </si>
  <si>
    <t>85 ～ 89</t>
  </si>
  <si>
    <t>60 ～ 64</t>
  </si>
  <si>
    <t>90 ～ 94</t>
  </si>
  <si>
    <t>80 ～ 84</t>
  </si>
  <si>
    <t>75 ～ 79</t>
  </si>
  <si>
    <t>　注２：平均年齢については、100歳以上の者を100歳として算出した。</t>
  </si>
  <si>
    <t>　注１：住民基本台帳による人口で、外国人登録者数は含まない。</t>
  </si>
  <si>
    <t>　注３：平均年齢については、小数点第2位を四捨五入した。</t>
  </si>
  <si>
    <t>2人口－1人口</t>
  </si>
  <si>
    <t>1表　世帯数 ・ 人口等の推移</t>
  </si>
  <si>
    <t>3表　町丁別世帯数と人口</t>
  </si>
  <si>
    <t>4表　年齢 （ 各歳 ） ，男女別人口</t>
  </si>
  <si>
    <t>S64</t>
  </si>
  <si>
    <t>H10</t>
  </si>
  <si>
    <t>アメリカ</t>
  </si>
  <si>
    <t>イギリス</t>
  </si>
  <si>
    <t>ブラジル</t>
  </si>
  <si>
    <t>インド</t>
  </si>
  <si>
    <t>タイ</t>
  </si>
  <si>
    <t>フィリピン</t>
  </si>
  <si>
    <t>5表　町別世帯数 ・ 人口の推移</t>
  </si>
  <si>
    <t>6表　年少 ・ 生産年齢 ・ 老年人口の推移</t>
  </si>
  <si>
    <t>7表　人口動態の推移</t>
  </si>
  <si>
    <t>8表　国籍別外国人登録者数の推移</t>
  </si>
  <si>
    <t>9表　戸籍届出処理件数 ・ 住民異動届処理件数の推移</t>
  </si>
  <si>
    <t>10表　都道府県別 ・ 男女別，立川市への転入者数</t>
  </si>
  <si>
    <t>F列は表示しない</t>
  </si>
  <si>
    <t>２表　多摩２６市の人口および人口密度</t>
  </si>
  <si>
    <t>平成23年1月1日現在</t>
  </si>
  <si>
    <t>総　　　　　数</t>
  </si>
  <si>
    <r>
      <t xml:space="preserve">人口密度
</t>
    </r>
    <r>
      <rPr>
        <sz val="8"/>
        <rFont val="ＭＳ Ｐ明朝"/>
        <family val="1"/>
      </rPr>
      <t>人／k㎡</t>
    </r>
  </si>
  <si>
    <t>面積</t>
  </si>
  <si>
    <t>総 　　　　数</t>
  </si>
  <si>
    <t>清瀬市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</si>
</sst>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.0_ ;_ * \-#,##0.0_ ;_ * &quot;-&quot;?_ ;_ @_ "/>
    <numFmt numFmtId="178" formatCode="#,##0;[Red]#,##0"/>
    <numFmt numFmtId="179" formatCode="#,##0_ "/>
    <numFmt numFmtId="180" formatCode="#,##0.00;&quot;△ &quot;#,##0.00"/>
    <numFmt numFmtId="181" formatCode="#,##0.00_ "/>
    <numFmt numFmtId="182" formatCode="#,##0.0;&quot;△ &quot;#,##0.0"/>
    <numFmt numFmtId="183" formatCode="0.00_ "/>
    <numFmt numFmtId="184" formatCode="#,##0_);[Red]\(#,##0\)"/>
    <numFmt numFmtId="185" formatCode="#,##0.00_);[Red]\(#,##0.00\)"/>
    <numFmt numFmtId="186" formatCode="0.00_);[Red]\(0.00\)"/>
    <numFmt numFmtId="187" formatCode="0_ "/>
    <numFmt numFmtId="188" formatCode="#,##0.0_ "/>
    <numFmt numFmtId="189" formatCode="0.E+00"/>
    <numFmt numFmtId="190" formatCode="\ &quot;-&quot;0\ "/>
    <numFmt numFmtId="191" formatCode="0_);[Red]\(0\)"/>
    <numFmt numFmtId="192" formatCode="0.0_);[Red]\(0.0\)"/>
    <numFmt numFmtId="193" formatCode="#,##0.0_);[Red]\(#,##0.0\)"/>
    <numFmt numFmtId="194" formatCode="#,##0.000;&quot;△ &quot;#,##0.000"/>
    <numFmt numFmtId="195" formatCode="##\ ###\ ##0"/>
    <numFmt numFmtId="196" formatCode="###\ ###\ ##0"/>
    <numFmt numFmtId="197" formatCode="0;&quot;△ &quot;0"/>
    <numFmt numFmtId="198" formatCode="###\ ###\ ###"/>
    <numFmt numFmtId="199" formatCode="###\ ###\ ##0;&quot;△&quot;##0.00\ \ "/>
    <numFmt numFmtId="200" formatCode="###\ ###\ ##0;&quot;△&quot;##0\ \ "/>
    <numFmt numFmtId="201" formatCode="###\ ###\ ##0;&quot;△&quot;##0.\ \ "/>
    <numFmt numFmtId="202" formatCode="###\ ###\ ##0;&quot;△&quot;###\ "/>
    <numFmt numFmtId="203" formatCode="###\ ###\ ##0;&quot;△&quot;\ ##0\ "/>
    <numFmt numFmtId="204" formatCode="###\ ###\ ##0;&quot;△&quot;###\ ##0\ "/>
    <numFmt numFmtId="205" formatCode="###\ ##0;&quot;△&quot;General"/>
    <numFmt numFmtId="206" formatCode="###\ ##0;&quot;△&quot;\ General"/>
    <numFmt numFmtId="207" formatCode="###\ ##0;&quot;△&quot;##\ ##0"/>
    <numFmt numFmtId="208" formatCode="##0.00;&quot;△&quot;General"/>
    <numFmt numFmtId="209" formatCode="##0.00;&quot;△&quot;\ #0.00"/>
    <numFmt numFmtId="210" formatCode="#,##0_ ;[Red]\-#,##0\ "/>
    <numFmt numFmtId="211" formatCode="##\ ###\ ##\-"/>
    <numFmt numFmtId="212" formatCode="##\ ###\ ##0_ "/>
    <numFmt numFmtId="213" formatCode="##,###,##0"/>
    <numFmt numFmtId="214" formatCode="#\ ##0.00;\-#\ ##0.00"/>
    <numFmt numFmtId="215" formatCode="#\ ##0.00"/>
    <numFmt numFmtId="216" formatCode="##\ ###\ ###"/>
    <numFmt numFmtId="217" formatCode="##\ ###\ ###_ "/>
    <numFmt numFmtId="218" formatCode="##\ ###\ #00\ "/>
    <numFmt numFmtId="219" formatCode="##\ ###\ ###\ "/>
    <numFmt numFmtId="220" formatCode="##\ ###\ ##0;&quot;△&quot;##\ ##0"/>
    <numFmt numFmtId="221" formatCode="#\ ##0.00;&quot;△&quot;;\-#,##0.00"/>
    <numFmt numFmtId="222" formatCode="#\ ##0.00;&quot;△&quot;\ ##0.00"/>
    <numFmt numFmtId="223" formatCode="###\ ##\-"/>
    <numFmt numFmtId="224" formatCode="###\ ###"/>
    <numFmt numFmtId="225" formatCode="###\ ###\:\-"/>
    <numFmt numFmtId="226" formatCode="###\ ###\:&quot;-&quot;"/>
    <numFmt numFmtId="227" formatCode="##.0\ ###\ ##0"/>
    <numFmt numFmtId="228" formatCode="##.\ ###\ ##0"/>
    <numFmt numFmtId="229" formatCode="#.\ ###\ ##0"/>
    <numFmt numFmtId="230" formatCode="0.0000000_ "/>
    <numFmt numFmtId="231" formatCode="0.000000_ "/>
    <numFmt numFmtId="232" formatCode="0.00000_ "/>
    <numFmt numFmtId="233" formatCode="0.0000_ "/>
    <numFmt numFmtId="234" formatCode="0.000_ "/>
    <numFmt numFmtId="235" formatCode="0.0_ "/>
    <numFmt numFmtId="236" formatCode="0.00000000_ "/>
    <numFmt numFmtId="237" formatCode="0.000000000_ "/>
    <numFmt numFmtId="238" formatCode="0.00;&quot;△ &quot;0.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vertAlign val="superscript"/>
      <sz val="9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 diagonalDown="1">
      <left>
        <color indexed="63"/>
      </left>
      <right style="hair"/>
      <top style="thin"/>
      <bottom style="hair"/>
      <diagonal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89">
    <xf numFmtId="0" fontId="0" fillId="0" borderId="0" xfId="0" applyAlignment="1">
      <alignment/>
    </xf>
    <xf numFmtId="179" fontId="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8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/>
    </xf>
    <xf numFmtId="180" fontId="4" fillId="0" borderId="0" xfId="0" applyNumberFormat="1" applyFont="1" applyFill="1" applyAlignment="1">
      <alignment horizontal="right" vertical="center"/>
    </xf>
    <xf numFmtId="184" fontId="0" fillId="0" borderId="0" xfId="0" applyNumberFormat="1" applyFill="1" applyAlignment="1">
      <alignment/>
    </xf>
    <xf numFmtId="0" fontId="2" fillId="0" borderId="0" xfId="0" applyFont="1" applyFill="1" applyAlignment="1">
      <alignment horizontal="left" indent="1"/>
    </xf>
    <xf numFmtId="179" fontId="10" fillId="0" borderId="0" xfId="0" applyNumberFormat="1" applyFont="1" applyFill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 indent="1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9" fontId="10" fillId="0" borderId="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176" fontId="10" fillId="0" borderId="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176" fontId="10" fillId="0" borderId="0" xfId="0" applyNumberFormat="1" applyFont="1" applyFill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80" fontId="10" fillId="0" borderId="0" xfId="0" applyNumberFormat="1" applyFont="1" applyFill="1" applyAlignment="1">
      <alignment horizontal="right" vertical="center"/>
    </xf>
    <xf numFmtId="0" fontId="10" fillId="0" borderId="20" xfId="0" applyFont="1" applyFill="1" applyBorder="1" applyAlignment="1">
      <alignment horizontal="center" vertical="center"/>
    </xf>
    <xf numFmtId="179" fontId="10" fillId="0" borderId="0" xfId="0" applyNumberFormat="1" applyFont="1" applyFill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179" fontId="10" fillId="0" borderId="23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vertical="center"/>
    </xf>
    <xf numFmtId="186" fontId="10" fillId="0" borderId="0" xfId="0" applyNumberFormat="1" applyFont="1" applyFill="1" applyAlignment="1">
      <alignment horizontal="right" vertical="center"/>
    </xf>
    <xf numFmtId="181" fontId="10" fillId="0" borderId="0" xfId="0" applyNumberFormat="1" applyFont="1" applyFill="1" applyAlignment="1">
      <alignment horizontal="right" vertical="center"/>
    </xf>
    <xf numFmtId="186" fontId="7" fillId="0" borderId="0" xfId="0" applyNumberFormat="1" applyFont="1" applyFill="1" applyAlignment="1">
      <alignment/>
    </xf>
    <xf numFmtId="0" fontId="9" fillId="0" borderId="24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49" fontId="10" fillId="0" borderId="3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76" fontId="7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top"/>
    </xf>
    <xf numFmtId="184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distributed" vertical="center"/>
    </xf>
    <xf numFmtId="180" fontId="10" fillId="0" borderId="0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Alignment="1">
      <alignment horizontal="right" vertical="center"/>
    </xf>
    <xf numFmtId="18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184" fontId="10" fillId="0" borderId="20" xfId="0" applyNumberFormat="1" applyFont="1" applyFill="1" applyBorder="1" applyAlignment="1">
      <alignment horizontal="center"/>
    </xf>
    <xf numFmtId="176" fontId="10" fillId="0" borderId="14" xfId="0" applyNumberFormat="1" applyFont="1" applyFill="1" applyBorder="1" applyAlignment="1">
      <alignment horizontal="center" vertical="center"/>
    </xf>
    <xf numFmtId="184" fontId="10" fillId="0" borderId="14" xfId="0" applyNumberFormat="1" applyFont="1" applyFill="1" applyBorder="1" applyAlignment="1">
      <alignment horizontal="center" vertical="top"/>
    </xf>
    <xf numFmtId="176" fontId="10" fillId="0" borderId="25" xfId="0" applyNumberFormat="1" applyFont="1" applyFill="1" applyBorder="1" applyAlignment="1">
      <alignment horizontal="center"/>
    </xf>
    <xf numFmtId="176" fontId="10" fillId="0" borderId="16" xfId="0" applyNumberFormat="1" applyFont="1" applyFill="1" applyBorder="1" applyAlignment="1">
      <alignment horizontal="center" vertical="top"/>
    </xf>
    <xf numFmtId="0" fontId="10" fillId="0" borderId="2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33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33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84" fontId="10" fillId="0" borderId="0" xfId="0" applyNumberFormat="1" applyFont="1" applyFill="1" applyAlignment="1">
      <alignment vertical="center"/>
    </xf>
    <xf numFmtId="184" fontId="7" fillId="0" borderId="23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/>
    </xf>
    <xf numFmtId="0" fontId="10" fillId="0" borderId="3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center" vertical="center"/>
    </xf>
    <xf numFmtId="191" fontId="10" fillId="0" borderId="34" xfId="0" applyNumberFormat="1" applyFont="1" applyFill="1" applyBorder="1" applyAlignment="1">
      <alignment horizontal="right" vertical="center"/>
    </xf>
    <xf numFmtId="191" fontId="10" fillId="0" borderId="0" xfId="0" applyNumberFormat="1" applyFont="1" applyFill="1" applyAlignment="1">
      <alignment horizontal="right" vertical="center"/>
    </xf>
    <xf numFmtId="192" fontId="10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93" fontId="7" fillId="0" borderId="0" xfId="0" applyNumberFormat="1" applyFont="1" applyFill="1" applyBorder="1" applyAlignment="1">
      <alignment/>
    </xf>
    <xf numFmtId="0" fontId="10" fillId="0" borderId="33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/>
    </xf>
    <xf numFmtId="176" fontId="9" fillId="0" borderId="0" xfId="0" applyNumberFormat="1" applyFont="1" applyFill="1" applyAlignment="1">
      <alignment horizontal="right"/>
    </xf>
    <xf numFmtId="0" fontId="7" fillId="0" borderId="3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9" fontId="9" fillId="0" borderId="23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Alignment="1">
      <alignment horizontal="right" vertical="center"/>
    </xf>
    <xf numFmtId="0" fontId="10" fillId="0" borderId="23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49" fontId="10" fillId="0" borderId="0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2" xfId="0" applyFont="1" applyFill="1" applyBorder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9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180" fontId="9" fillId="0" borderId="0" xfId="0" applyNumberFormat="1" applyFont="1" applyFill="1" applyAlignment="1">
      <alignment horizontal="right" vertical="center"/>
    </xf>
    <xf numFmtId="0" fontId="9" fillId="0" borderId="11" xfId="0" applyFont="1" applyFill="1" applyBorder="1" applyAlignment="1">
      <alignment/>
    </xf>
    <xf numFmtId="18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9" fillId="0" borderId="24" xfId="0" applyFont="1" applyFill="1" applyBorder="1" applyAlignment="1">
      <alignment vertical="center"/>
    </xf>
    <xf numFmtId="0" fontId="9" fillId="0" borderId="24" xfId="0" applyFont="1" applyFill="1" applyBorder="1" applyAlignment="1">
      <alignment/>
    </xf>
    <xf numFmtId="179" fontId="9" fillId="0" borderId="24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vertical="center"/>
    </xf>
    <xf numFmtId="0" fontId="9" fillId="0" borderId="12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0" fontId="10" fillId="0" borderId="38" xfId="0" applyFont="1" applyFill="1" applyBorder="1" applyAlignment="1">
      <alignment horizontal="distributed" vertical="center"/>
    </xf>
    <xf numFmtId="0" fontId="10" fillId="0" borderId="38" xfId="0" applyFont="1" applyFill="1" applyBorder="1" applyAlignment="1">
      <alignment horizontal="distributed" vertical="center" indent="1"/>
    </xf>
    <xf numFmtId="0" fontId="10" fillId="0" borderId="39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distributed" vertical="center" indent="1"/>
    </xf>
    <xf numFmtId="0" fontId="10" fillId="0" borderId="11" xfId="0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left" indent="1"/>
    </xf>
    <xf numFmtId="0" fontId="14" fillId="0" borderId="24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184" fontId="14" fillId="0" borderId="24" xfId="0" applyNumberFormat="1" applyFont="1" applyFill="1" applyBorder="1" applyAlignment="1">
      <alignment/>
    </xf>
    <xf numFmtId="0" fontId="15" fillId="0" borderId="24" xfId="0" applyFont="1" applyFill="1" applyBorder="1" applyAlignment="1">
      <alignment/>
    </xf>
    <xf numFmtId="184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left" vertical="center" indent="1"/>
    </xf>
    <xf numFmtId="0" fontId="13" fillId="0" borderId="38" xfId="0" applyFont="1" applyFill="1" applyBorder="1" applyAlignment="1">
      <alignment horizontal="center" vertical="center" shrinkToFit="1"/>
    </xf>
    <xf numFmtId="38" fontId="10" fillId="0" borderId="0" xfId="49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176" fontId="4" fillId="0" borderId="40" xfId="0" applyNumberFormat="1" applyFont="1" applyFill="1" applyBorder="1" applyAlignment="1">
      <alignment horizontal="right" vertical="center"/>
    </xf>
    <xf numFmtId="176" fontId="10" fillId="0" borderId="40" xfId="0" applyNumberFormat="1" applyFont="1" applyFill="1" applyBorder="1" applyAlignment="1">
      <alignment horizontal="right" vertical="center"/>
    </xf>
    <xf numFmtId="38" fontId="10" fillId="0" borderId="40" xfId="49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8" fontId="4" fillId="0" borderId="0" xfId="49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81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horizontal="center" vertical="center"/>
    </xf>
    <xf numFmtId="193" fontId="10" fillId="0" borderId="40" xfId="0" applyNumberFormat="1" applyFont="1" applyFill="1" applyBorder="1" applyAlignment="1">
      <alignment horizontal="right" vertical="center"/>
    </xf>
    <xf numFmtId="193" fontId="1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4" fillId="0" borderId="24" xfId="0" applyNumberFormat="1" applyFont="1" applyFill="1" applyBorder="1" applyAlignment="1">
      <alignment horizontal="right" vertical="center"/>
    </xf>
    <xf numFmtId="179" fontId="10" fillId="0" borderId="40" xfId="0" applyNumberFormat="1" applyFont="1" applyFill="1" applyBorder="1" applyAlignment="1">
      <alignment horizontal="right" vertical="center"/>
    </xf>
    <xf numFmtId="192" fontId="1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79" fontId="10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indent="1"/>
    </xf>
    <xf numFmtId="0" fontId="3" fillId="0" borderId="11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horizontal="left" indent="1"/>
    </xf>
    <xf numFmtId="0" fontId="9" fillId="0" borderId="0" xfId="0" applyFont="1" applyFill="1" applyAlignment="1">
      <alignment horizontal="left" indent="1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10" fillId="0" borderId="24" xfId="0" applyFont="1" applyFill="1" applyBorder="1" applyAlignment="1">
      <alignment horizontal="left" indent="1"/>
    </xf>
    <xf numFmtId="0" fontId="10" fillId="0" borderId="2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76" fontId="7" fillId="0" borderId="36" xfId="0" applyNumberFormat="1" applyFont="1" applyFill="1" applyBorder="1" applyAlignment="1">
      <alignment horizontal="center" vertical="center"/>
    </xf>
    <xf numFmtId="176" fontId="10" fillId="0" borderId="20" xfId="0" applyNumberFormat="1" applyFont="1" applyFill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horizontal="center" vertical="center"/>
    </xf>
    <xf numFmtId="176" fontId="10" fillId="0" borderId="22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33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left"/>
    </xf>
    <xf numFmtId="0" fontId="12" fillId="0" borderId="4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184" fontId="10" fillId="0" borderId="0" xfId="0" applyNumberFormat="1" applyFont="1" applyFill="1" applyBorder="1" applyAlignment="1">
      <alignment vertical="center"/>
    </xf>
    <xf numFmtId="192" fontId="10" fillId="0" borderId="0" xfId="0" applyNumberFormat="1" applyFont="1" applyFill="1" applyBorder="1" applyAlignment="1">
      <alignment vertical="center"/>
    </xf>
    <xf numFmtId="192" fontId="10" fillId="0" borderId="40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33" xfId="0" applyFont="1" applyBorder="1" applyAlignment="1">
      <alignment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4" fontId="10" fillId="0" borderId="0" xfId="0" applyNumberFormat="1" applyFont="1" applyFill="1" applyAlignment="1">
      <alignment vertical="center"/>
    </xf>
    <xf numFmtId="192" fontId="10" fillId="0" borderId="0" xfId="0" applyNumberFormat="1" applyFont="1" applyFill="1" applyAlignment="1">
      <alignment vertical="center"/>
    </xf>
    <xf numFmtId="0" fontId="13" fillId="0" borderId="33" xfId="0" applyFont="1" applyFill="1" applyBorder="1" applyAlignment="1">
      <alignment vertical="top" shrinkToFit="1"/>
    </xf>
    <xf numFmtId="0" fontId="7" fillId="0" borderId="0" xfId="0" applyFont="1" applyAlignment="1">
      <alignment shrinkToFit="1"/>
    </xf>
    <xf numFmtId="0" fontId="7" fillId="0" borderId="11" xfId="0" applyFont="1" applyBorder="1" applyAlignment="1">
      <alignment shrinkToFit="1"/>
    </xf>
    <xf numFmtId="0" fontId="7" fillId="0" borderId="11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right" vertical="center"/>
    </xf>
    <xf numFmtId="179" fontId="9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right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76" fontId="3" fillId="0" borderId="4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38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176" fontId="9" fillId="0" borderId="4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9" fillId="0" borderId="40" xfId="0" applyNumberFormat="1" applyFont="1" applyFill="1" applyBorder="1" applyAlignment="1">
      <alignment horizontal="right"/>
    </xf>
    <xf numFmtId="176" fontId="9" fillId="0" borderId="40" xfId="0" applyNumberFormat="1" applyFont="1" applyFill="1" applyBorder="1" applyAlignment="1">
      <alignment vertical="center"/>
    </xf>
    <xf numFmtId="176" fontId="9" fillId="0" borderId="23" xfId="0" applyNumberFormat="1" applyFont="1" applyFill="1" applyBorder="1" applyAlignment="1">
      <alignment horizontal="center" vertical="center"/>
    </xf>
    <xf numFmtId="179" fontId="9" fillId="0" borderId="23" xfId="0" applyNumberFormat="1" applyFont="1" applyFill="1" applyBorder="1" applyAlignment="1">
      <alignment horizontal="right" vertical="center"/>
    </xf>
    <xf numFmtId="179" fontId="9" fillId="0" borderId="4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3" fillId="0" borderId="4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/>
    </xf>
    <xf numFmtId="179" fontId="9" fillId="0" borderId="0" xfId="0" applyNumberFormat="1" applyFont="1" applyFill="1" applyAlignment="1">
      <alignment horizontal="right" vertical="center"/>
    </xf>
    <xf numFmtId="188" fontId="9" fillId="0" borderId="0" xfId="0" applyNumberFormat="1" applyFont="1" applyFill="1" applyAlignment="1">
      <alignment horizontal="right" vertical="center"/>
    </xf>
    <xf numFmtId="179" fontId="9" fillId="0" borderId="0" xfId="0" applyNumberFormat="1" applyFont="1" applyFill="1" applyAlignment="1">
      <alignment vertical="center"/>
    </xf>
    <xf numFmtId="0" fontId="9" fillId="0" borderId="23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176" fontId="10" fillId="0" borderId="4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4" fillId="0" borderId="4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40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184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184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/>
    </xf>
    <xf numFmtId="184" fontId="10" fillId="0" borderId="40" xfId="0" applyNumberFormat="1" applyFont="1" applyFill="1" applyBorder="1" applyAlignment="1">
      <alignment horizontal="right" vertical="center"/>
    </xf>
    <xf numFmtId="184" fontId="4" fillId="0" borderId="4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184" fontId="4" fillId="0" borderId="0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indent="1"/>
    </xf>
    <xf numFmtId="0" fontId="10" fillId="0" borderId="11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41" xfId="0" applyFont="1" applyFill="1" applyBorder="1" applyAlignment="1">
      <alignment horizontal="distributed" vertical="center" indent="1"/>
    </xf>
    <xf numFmtId="0" fontId="10" fillId="0" borderId="23" xfId="0" applyFont="1" applyFill="1" applyBorder="1" applyAlignment="1">
      <alignment horizontal="distributed" vertical="center" indent="1"/>
    </xf>
    <xf numFmtId="0" fontId="10" fillId="0" borderId="12" xfId="0" applyFont="1" applyFill="1" applyBorder="1" applyAlignment="1">
      <alignment horizontal="distributed" vertical="center" indent="1"/>
    </xf>
    <xf numFmtId="0" fontId="0" fillId="32" borderId="0" xfId="0" applyFill="1" applyAlignment="1">
      <alignment/>
    </xf>
    <xf numFmtId="0" fontId="12" fillId="0" borderId="0" xfId="0" applyFont="1" applyFill="1" applyAlignment="1">
      <alignment horizontal="left" indent="2"/>
    </xf>
    <xf numFmtId="0" fontId="9" fillId="0" borderId="23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9" fontId="4" fillId="0" borderId="40" xfId="0" applyNumberFormat="1" applyFont="1" applyFill="1" applyBorder="1" applyAlignment="1">
      <alignment horizontal="right" vertical="center" indent="1"/>
    </xf>
    <xf numFmtId="179" fontId="4" fillId="0" borderId="0" xfId="0" applyNumberFormat="1" applyFont="1" applyFill="1" applyAlignment="1">
      <alignment horizontal="right" vertical="center" indent="1"/>
    </xf>
    <xf numFmtId="184" fontId="4" fillId="0" borderId="0" xfId="0" applyNumberFormat="1" applyFont="1" applyFill="1" applyAlignment="1">
      <alignment horizontal="right" vertical="center" indent="1"/>
    </xf>
    <xf numFmtId="185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179" fontId="10" fillId="0" borderId="40" xfId="0" applyNumberFormat="1" applyFont="1" applyFill="1" applyBorder="1" applyAlignment="1">
      <alignment horizontal="right" vertical="center" indent="1"/>
    </xf>
    <xf numFmtId="179" fontId="10" fillId="0" borderId="0" xfId="0" applyNumberFormat="1" applyFont="1" applyFill="1" applyAlignment="1">
      <alignment horizontal="right" vertical="center" indent="1"/>
    </xf>
    <xf numFmtId="184" fontId="10" fillId="0" borderId="0" xfId="0" applyNumberFormat="1" applyFont="1" applyFill="1" applyAlignment="1">
      <alignment horizontal="right" vertical="center" indent="1"/>
    </xf>
    <xf numFmtId="185" fontId="10" fillId="0" borderId="0" xfId="0" applyNumberFormat="1" applyFont="1" applyFill="1" applyAlignment="1">
      <alignment horizontal="right" vertical="center"/>
    </xf>
    <xf numFmtId="0" fontId="10" fillId="0" borderId="0" xfId="62" applyFont="1" applyFill="1" applyAlignment="1">
      <alignment horizontal="distributed" vertical="center"/>
      <protection/>
    </xf>
    <xf numFmtId="179" fontId="10" fillId="0" borderId="0" xfId="0" applyNumberFormat="1" applyFont="1" applyFill="1" applyBorder="1" applyAlignment="1">
      <alignment horizontal="right" vertical="center" indent="1"/>
    </xf>
    <xf numFmtId="195" fontId="10" fillId="0" borderId="0" xfId="62" applyNumberFormat="1" applyFont="1" applyFill="1">
      <alignment/>
      <protection/>
    </xf>
    <xf numFmtId="0" fontId="4" fillId="0" borderId="0" xfId="62" applyFont="1" applyFill="1" applyAlignment="1">
      <alignment horizontal="distributed" vertical="center"/>
      <protection/>
    </xf>
    <xf numFmtId="179" fontId="4" fillId="0" borderId="0" xfId="0" applyNumberFormat="1" applyFont="1" applyFill="1" applyBorder="1" applyAlignment="1">
      <alignment horizontal="right" vertical="center" indent="1"/>
    </xf>
    <xf numFmtId="195" fontId="4" fillId="0" borderId="0" xfId="62" applyNumberFormat="1" applyFont="1" applyFill="1">
      <alignment/>
      <protection/>
    </xf>
    <xf numFmtId="0" fontId="4" fillId="0" borderId="0" xfId="0" applyFont="1" applyFill="1" applyAlignment="1">
      <alignment/>
    </xf>
    <xf numFmtId="0" fontId="10" fillId="0" borderId="0" xfId="62" applyFont="1" applyFill="1" applyBorder="1" applyAlignment="1">
      <alignment horizontal="distributed" vertical="center"/>
      <protection/>
    </xf>
    <xf numFmtId="0" fontId="10" fillId="0" borderId="0" xfId="62" applyFont="1" applyFill="1" applyBorder="1">
      <alignment/>
      <protection/>
    </xf>
    <xf numFmtId="196" fontId="10" fillId="0" borderId="0" xfId="62" applyNumberFormat="1" applyFont="1" applyFill="1" applyAlignment="1">
      <alignment horizontal="distributed" vertical="center"/>
      <protection/>
    </xf>
    <xf numFmtId="0" fontId="0" fillId="0" borderId="0" xfId="0" applyFill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１．４表　（参考表１．２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7.50390625" style="2" customWidth="1"/>
    <col min="2" max="5" width="8.75390625" style="2" customWidth="1"/>
    <col min="6" max="6" width="7.50390625" style="2" customWidth="1"/>
    <col min="7" max="9" width="8.75390625" style="2" customWidth="1"/>
    <col min="10" max="16384" width="9.00390625" style="2" customWidth="1"/>
  </cols>
  <sheetData>
    <row r="1" s="213" customFormat="1" ht="15.75" customHeight="1">
      <c r="A1" s="179" t="s">
        <v>320</v>
      </c>
    </row>
    <row r="2" spans="1:10" ht="19.5" customHeight="1">
      <c r="A2" s="9" t="s">
        <v>321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 customHeight="1">
      <c r="A3" s="20"/>
      <c r="B3" s="26"/>
      <c r="C3" s="26"/>
      <c r="D3" s="26"/>
      <c r="E3" s="26"/>
      <c r="F3" s="26"/>
      <c r="G3" s="26"/>
      <c r="H3" s="26"/>
      <c r="I3" s="26"/>
      <c r="J3" s="27" t="s">
        <v>0</v>
      </c>
    </row>
    <row r="4" spans="1:10" ht="13.5">
      <c r="A4" s="223" t="s">
        <v>1</v>
      </c>
      <c r="B4" s="221" t="s">
        <v>6</v>
      </c>
      <c r="C4" s="221" t="s">
        <v>124</v>
      </c>
      <c r="D4" s="58" t="s">
        <v>155</v>
      </c>
      <c r="E4" s="59" t="s">
        <v>4</v>
      </c>
      <c r="F4" s="225" t="s">
        <v>1</v>
      </c>
      <c r="G4" s="221" t="s">
        <v>6</v>
      </c>
      <c r="H4" s="221" t="s">
        <v>124</v>
      </c>
      <c r="I4" s="58" t="s">
        <v>155</v>
      </c>
      <c r="J4" s="61" t="s">
        <v>4</v>
      </c>
    </row>
    <row r="5" spans="1:10" ht="13.5">
      <c r="A5" s="224"/>
      <c r="B5" s="222"/>
      <c r="C5" s="222"/>
      <c r="D5" s="37" t="s">
        <v>2</v>
      </c>
      <c r="E5" s="60" t="s">
        <v>225</v>
      </c>
      <c r="F5" s="226"/>
      <c r="G5" s="222"/>
      <c r="H5" s="222"/>
      <c r="I5" s="37" t="s">
        <v>2</v>
      </c>
      <c r="J5" s="36" t="s">
        <v>225</v>
      </c>
    </row>
    <row r="6" spans="1:10" ht="5.25" customHeight="1">
      <c r="A6" s="56"/>
      <c r="B6" s="20"/>
      <c r="C6" s="20"/>
      <c r="D6" s="20"/>
      <c r="E6" s="20"/>
      <c r="F6" s="62"/>
      <c r="G6" s="20"/>
      <c r="H6" s="20"/>
      <c r="I6" s="20"/>
      <c r="J6" s="20"/>
    </row>
    <row r="7" spans="1:10" ht="13.5">
      <c r="A7" s="57" t="s">
        <v>125</v>
      </c>
      <c r="B7" s="17">
        <v>4167</v>
      </c>
      <c r="C7" s="17">
        <v>20710</v>
      </c>
      <c r="D7" s="51">
        <f>C7/B7</f>
        <v>4.970002399808015</v>
      </c>
      <c r="E7" s="17">
        <v>2356</v>
      </c>
      <c r="F7" s="63" t="s">
        <v>226</v>
      </c>
      <c r="G7" s="17">
        <v>46142</v>
      </c>
      <c r="H7" s="17">
        <v>138230</v>
      </c>
      <c r="I7" s="52">
        <f>H7/G7</f>
        <v>2.9957522430757226</v>
      </c>
      <c r="J7" s="17">
        <v>5712</v>
      </c>
    </row>
    <row r="8" spans="1:10" ht="13.5">
      <c r="A8" s="57" t="s">
        <v>227</v>
      </c>
      <c r="B8" s="17">
        <v>4317</v>
      </c>
      <c r="C8" s="17">
        <v>23200</v>
      </c>
      <c r="D8" s="51">
        <f aca="true" t="shared" si="0" ref="D8:D47">C8/B8</f>
        <v>5.374102385916146</v>
      </c>
      <c r="E8" s="17">
        <v>2639</v>
      </c>
      <c r="F8" s="63" t="s">
        <v>228</v>
      </c>
      <c r="G8" s="17">
        <v>46779</v>
      </c>
      <c r="H8" s="17">
        <v>138661</v>
      </c>
      <c r="I8" s="52">
        <f>H8/G8</f>
        <v>2.9641719575022982</v>
      </c>
      <c r="J8" s="17">
        <v>5730</v>
      </c>
    </row>
    <row r="9" spans="1:10" ht="13.5">
      <c r="A9" s="57" t="s">
        <v>161</v>
      </c>
      <c r="B9" s="17">
        <v>4628</v>
      </c>
      <c r="C9" s="17">
        <v>24500</v>
      </c>
      <c r="D9" s="51">
        <f t="shared" si="0"/>
        <v>5.293863439930855</v>
      </c>
      <c r="E9" s="17">
        <v>2737</v>
      </c>
      <c r="F9" s="63" t="s">
        <v>193</v>
      </c>
      <c r="G9" s="17">
        <v>47671</v>
      </c>
      <c r="H9" s="17">
        <v>140640</v>
      </c>
      <c r="I9" s="52">
        <f>H9/G9</f>
        <v>2.9502213085523694</v>
      </c>
      <c r="J9" s="17">
        <v>5812</v>
      </c>
    </row>
    <row r="10" spans="1:10" ht="13.5">
      <c r="A10" s="57" t="s">
        <v>162</v>
      </c>
      <c r="B10" s="17">
        <v>5118</v>
      </c>
      <c r="C10" s="17">
        <v>26880</v>
      </c>
      <c r="D10" s="51">
        <f t="shared" si="0"/>
        <v>5.2520515826494725</v>
      </c>
      <c r="E10" s="17">
        <v>3058</v>
      </c>
      <c r="F10" s="63" t="s">
        <v>194</v>
      </c>
      <c r="G10" s="17">
        <v>48683</v>
      </c>
      <c r="H10" s="17">
        <v>142455</v>
      </c>
      <c r="I10" s="52">
        <f>H10/G10</f>
        <v>2.9261754616601277</v>
      </c>
      <c r="J10" s="17">
        <v>5887</v>
      </c>
    </row>
    <row r="11" spans="1:10" ht="13.5">
      <c r="A11" s="57" t="s">
        <v>163</v>
      </c>
      <c r="B11" s="17">
        <v>6552</v>
      </c>
      <c r="C11" s="17">
        <v>34729</v>
      </c>
      <c r="D11" s="51">
        <f t="shared" si="0"/>
        <v>5.300518925518926</v>
      </c>
      <c r="E11" s="17">
        <v>3951</v>
      </c>
      <c r="F11" s="63" t="s">
        <v>195</v>
      </c>
      <c r="G11" s="17">
        <v>49162</v>
      </c>
      <c r="H11" s="17">
        <v>143450</v>
      </c>
      <c r="I11" s="52">
        <f>H11/G11</f>
        <v>2.9179040722509253</v>
      </c>
      <c r="J11" s="17">
        <v>5928</v>
      </c>
    </row>
    <row r="12" spans="1:10" ht="5.25" customHeight="1">
      <c r="A12" s="57"/>
      <c r="B12" s="17"/>
      <c r="C12" s="20"/>
      <c r="D12" s="51"/>
      <c r="E12" s="17"/>
      <c r="F12" s="63"/>
      <c r="G12" s="17"/>
      <c r="H12" s="17"/>
      <c r="I12" s="52"/>
      <c r="J12" s="17"/>
    </row>
    <row r="13" spans="1:10" ht="13.5">
      <c r="A13" s="57" t="s">
        <v>229</v>
      </c>
      <c r="B13" s="17">
        <v>7249</v>
      </c>
      <c r="C13" s="17">
        <v>42176</v>
      </c>
      <c r="D13" s="51">
        <f t="shared" si="0"/>
        <v>5.818181818181818</v>
      </c>
      <c r="E13" s="17">
        <v>4798</v>
      </c>
      <c r="F13" s="63" t="s">
        <v>230</v>
      </c>
      <c r="G13" s="17">
        <v>49583</v>
      </c>
      <c r="H13" s="17">
        <v>143332</v>
      </c>
      <c r="I13" s="52">
        <f>H13/G13</f>
        <v>2.890748845370389</v>
      </c>
      <c r="J13" s="17">
        <v>5923</v>
      </c>
    </row>
    <row r="14" spans="1:10" ht="13.5">
      <c r="A14" s="57" t="s">
        <v>165</v>
      </c>
      <c r="B14" s="17">
        <v>7935</v>
      </c>
      <c r="C14" s="17">
        <v>46858</v>
      </c>
      <c r="D14" s="51">
        <f t="shared" si="0"/>
        <v>5.905229993698803</v>
      </c>
      <c r="E14" s="17">
        <v>5331</v>
      </c>
      <c r="F14" s="63" t="s">
        <v>196</v>
      </c>
      <c r="G14" s="17">
        <v>49886</v>
      </c>
      <c r="H14" s="17">
        <v>143042</v>
      </c>
      <c r="I14" s="52">
        <f>H14/G14</f>
        <v>2.867377620975825</v>
      </c>
      <c r="J14" s="17">
        <v>5911</v>
      </c>
    </row>
    <row r="15" spans="1:10" ht="13.5">
      <c r="A15" s="57" t="s">
        <v>166</v>
      </c>
      <c r="B15" s="17">
        <v>8620</v>
      </c>
      <c r="C15" s="17">
        <v>56860</v>
      </c>
      <c r="D15" s="51">
        <f t="shared" si="0"/>
        <v>6.596287703016241</v>
      </c>
      <c r="E15" s="17">
        <v>6469</v>
      </c>
      <c r="F15" s="63" t="s">
        <v>197</v>
      </c>
      <c r="G15" s="17">
        <v>50392</v>
      </c>
      <c r="H15" s="17">
        <v>143539</v>
      </c>
      <c r="I15" s="52">
        <f>H15/G15</f>
        <v>2.8484481663756154</v>
      </c>
      <c r="J15" s="17">
        <v>5931</v>
      </c>
    </row>
    <row r="16" spans="1:10" ht="13.5">
      <c r="A16" s="57" t="s">
        <v>167</v>
      </c>
      <c r="B16" s="17">
        <v>8776</v>
      </c>
      <c r="C16" s="17">
        <v>60000</v>
      </c>
      <c r="D16" s="51">
        <f t="shared" si="0"/>
        <v>6.836827711941659</v>
      </c>
      <c r="E16" s="17">
        <v>6826</v>
      </c>
      <c r="F16" s="63" t="s">
        <v>198</v>
      </c>
      <c r="G16" s="17">
        <v>51277</v>
      </c>
      <c r="H16" s="17">
        <v>144520</v>
      </c>
      <c r="I16" s="52">
        <f>H16/G16</f>
        <v>2.8184176141349924</v>
      </c>
      <c r="J16" s="17">
        <v>5971</v>
      </c>
    </row>
    <row r="17" spans="1:10" ht="13.5">
      <c r="A17" s="57" t="s">
        <v>168</v>
      </c>
      <c r="B17" s="17">
        <v>7872</v>
      </c>
      <c r="C17" s="17">
        <v>34586</v>
      </c>
      <c r="D17" s="51">
        <f t="shared" si="0"/>
        <v>4.39354674796748</v>
      </c>
      <c r="E17" s="17">
        <v>3935</v>
      </c>
      <c r="F17" s="63" t="s">
        <v>199</v>
      </c>
      <c r="G17" s="17">
        <v>52136</v>
      </c>
      <c r="H17" s="17">
        <v>145941</v>
      </c>
      <c r="I17" s="52">
        <f>H17/G17</f>
        <v>2.7992366119380083</v>
      </c>
      <c r="J17" s="17">
        <v>6030</v>
      </c>
    </row>
    <row r="18" spans="1:10" ht="5.25" customHeight="1">
      <c r="A18" s="57"/>
      <c r="B18" s="17"/>
      <c r="C18" s="17"/>
      <c r="D18" s="51"/>
      <c r="E18" s="17"/>
      <c r="F18" s="63"/>
      <c r="G18" s="17"/>
      <c r="H18" s="17"/>
      <c r="I18" s="52"/>
      <c r="J18" s="17"/>
    </row>
    <row r="19" spans="1:10" ht="13.5">
      <c r="A19" s="57" t="s">
        <v>231</v>
      </c>
      <c r="B19" s="17">
        <v>9241</v>
      </c>
      <c r="C19" s="17">
        <v>39921</v>
      </c>
      <c r="D19" s="51">
        <f t="shared" si="0"/>
        <v>4.319987014392382</v>
      </c>
      <c r="E19" s="17">
        <v>4542</v>
      </c>
      <c r="F19" s="63" t="s">
        <v>232</v>
      </c>
      <c r="G19" s="17">
        <v>53274</v>
      </c>
      <c r="H19" s="17">
        <v>147772</v>
      </c>
      <c r="I19" s="52">
        <f>H19/G19</f>
        <v>2.773810864586853</v>
      </c>
      <c r="J19" s="17">
        <v>6106</v>
      </c>
    </row>
    <row r="20" spans="1:10" ht="13.5">
      <c r="A20" s="57" t="s">
        <v>169</v>
      </c>
      <c r="B20" s="17">
        <v>10373</v>
      </c>
      <c r="C20" s="17">
        <v>45300</v>
      </c>
      <c r="D20" s="51">
        <f t="shared" si="0"/>
        <v>4.367106912175841</v>
      </c>
      <c r="E20" s="17">
        <v>5154</v>
      </c>
      <c r="F20" s="63" t="s">
        <v>200</v>
      </c>
      <c r="G20" s="17">
        <v>54723</v>
      </c>
      <c r="H20" s="17">
        <v>150019</v>
      </c>
      <c r="I20" s="52">
        <f>H20/G20</f>
        <v>2.7414249949746905</v>
      </c>
      <c r="J20" s="17">
        <v>6198</v>
      </c>
    </row>
    <row r="21" spans="1:10" ht="13.5">
      <c r="A21" s="57" t="s">
        <v>170</v>
      </c>
      <c r="B21" s="17">
        <v>11975</v>
      </c>
      <c r="C21" s="17">
        <v>50512</v>
      </c>
      <c r="D21" s="51">
        <f t="shared" si="0"/>
        <v>4.21812108559499</v>
      </c>
      <c r="E21" s="17">
        <v>5747</v>
      </c>
      <c r="F21" s="63" t="s">
        <v>201</v>
      </c>
      <c r="G21" s="17">
        <v>55845</v>
      </c>
      <c r="H21" s="17">
        <v>151179</v>
      </c>
      <c r="I21" s="52">
        <f>H21/G21</f>
        <v>2.7071179156594143</v>
      </c>
      <c r="J21" s="17">
        <v>6246</v>
      </c>
    </row>
    <row r="22" spans="1:10" ht="13.5">
      <c r="A22" s="57" t="s">
        <v>171</v>
      </c>
      <c r="B22" s="17">
        <v>12107</v>
      </c>
      <c r="C22" s="17">
        <v>51426</v>
      </c>
      <c r="D22" s="51">
        <f t="shared" si="0"/>
        <v>4.247625340711985</v>
      </c>
      <c r="E22" s="17">
        <v>5851</v>
      </c>
      <c r="F22" s="63" t="s">
        <v>202</v>
      </c>
      <c r="G22" s="17">
        <v>56987</v>
      </c>
      <c r="H22" s="17">
        <v>152098</v>
      </c>
      <c r="I22" s="52">
        <f>H22/G22</f>
        <v>2.6689946829978766</v>
      </c>
      <c r="J22" s="17">
        <v>4285</v>
      </c>
    </row>
    <row r="23" spans="1:10" ht="13.5">
      <c r="A23" s="57" t="s">
        <v>172</v>
      </c>
      <c r="B23" s="17">
        <v>12319</v>
      </c>
      <c r="C23" s="17">
        <v>53015</v>
      </c>
      <c r="D23" s="51">
        <f t="shared" si="0"/>
        <v>4.3035148956895855</v>
      </c>
      <c r="E23" s="17">
        <v>6031</v>
      </c>
      <c r="F23" s="63" t="s">
        <v>126</v>
      </c>
      <c r="G23" s="17">
        <v>58399</v>
      </c>
      <c r="H23" s="17">
        <v>153041</v>
      </c>
      <c r="I23" s="52">
        <f>H23/G23</f>
        <v>2.6206099419510607</v>
      </c>
      <c r="J23" s="17">
        <v>6277</v>
      </c>
    </row>
    <row r="24" spans="1:10" ht="5.25" customHeight="1">
      <c r="A24" s="57"/>
      <c r="B24" s="17"/>
      <c r="C24" s="17"/>
      <c r="D24" s="51"/>
      <c r="E24" s="17"/>
      <c r="F24" s="63"/>
      <c r="G24" s="17"/>
      <c r="H24" s="17"/>
      <c r="I24" s="52"/>
      <c r="J24" s="17"/>
    </row>
    <row r="25" spans="1:10" ht="13.5">
      <c r="A25" s="57" t="s">
        <v>233</v>
      </c>
      <c r="B25" s="17">
        <v>12689</v>
      </c>
      <c r="C25" s="17">
        <v>54493</v>
      </c>
      <c r="D25" s="51">
        <f t="shared" si="0"/>
        <v>4.294507053353298</v>
      </c>
      <c r="E25" s="17">
        <v>6199</v>
      </c>
      <c r="F25" s="63" t="s">
        <v>234</v>
      </c>
      <c r="G25" s="17">
        <v>59193</v>
      </c>
      <c r="H25" s="17">
        <v>153273</v>
      </c>
      <c r="I25" s="52">
        <f>H25/G25</f>
        <v>2.589377122294866</v>
      </c>
      <c r="J25" s="17">
        <v>6287</v>
      </c>
    </row>
    <row r="26" spans="1:10" ht="13.5">
      <c r="A26" s="57" t="s">
        <v>173</v>
      </c>
      <c r="B26" s="17">
        <v>12969</v>
      </c>
      <c r="C26" s="17">
        <v>55883</v>
      </c>
      <c r="D26" s="51">
        <f t="shared" si="0"/>
        <v>4.308967537975172</v>
      </c>
      <c r="E26" s="17">
        <v>6358</v>
      </c>
      <c r="F26" s="63" t="s">
        <v>203</v>
      </c>
      <c r="G26" s="17">
        <v>60368</v>
      </c>
      <c r="H26" s="17">
        <v>154168</v>
      </c>
      <c r="I26" s="52">
        <f>H26/G26</f>
        <v>2.5538033395176254</v>
      </c>
      <c r="J26" s="17">
        <v>6324</v>
      </c>
    </row>
    <row r="27" spans="1:10" ht="13.5">
      <c r="A27" s="57" t="s">
        <v>174</v>
      </c>
      <c r="B27" s="17">
        <v>13561</v>
      </c>
      <c r="C27" s="17">
        <v>57861</v>
      </c>
      <c r="D27" s="51">
        <f t="shared" si="0"/>
        <v>4.266720743308015</v>
      </c>
      <c r="E27" s="17">
        <v>6583</v>
      </c>
      <c r="F27" s="63" t="s">
        <v>204</v>
      </c>
      <c r="G27" s="17">
        <v>61391</v>
      </c>
      <c r="H27" s="17">
        <v>154884</v>
      </c>
      <c r="I27" s="52">
        <f>H27/G27</f>
        <v>2.5229105243439593</v>
      </c>
      <c r="J27" s="17">
        <v>6353</v>
      </c>
    </row>
    <row r="28" spans="1:10" ht="13.5">
      <c r="A28" s="57" t="s">
        <v>175</v>
      </c>
      <c r="B28" s="17">
        <v>14119</v>
      </c>
      <c r="C28" s="17">
        <v>59548</v>
      </c>
      <c r="D28" s="51">
        <f t="shared" si="0"/>
        <v>4.217579148664919</v>
      </c>
      <c r="E28" s="17">
        <v>6775</v>
      </c>
      <c r="F28" s="63" t="s">
        <v>205</v>
      </c>
      <c r="G28" s="17">
        <v>61982</v>
      </c>
      <c r="H28" s="17">
        <v>154922</v>
      </c>
      <c r="I28" s="52">
        <f>H28/G28</f>
        <v>2.4994675873640735</v>
      </c>
      <c r="J28" s="17">
        <v>6354</v>
      </c>
    </row>
    <row r="29" spans="1:10" ht="13.5">
      <c r="A29" s="57" t="s">
        <v>176</v>
      </c>
      <c r="B29" s="17">
        <v>15019</v>
      </c>
      <c r="C29" s="17">
        <v>61995</v>
      </c>
      <c r="D29" s="51">
        <f t="shared" si="0"/>
        <v>4.127771489446701</v>
      </c>
      <c r="E29" s="17">
        <v>7053</v>
      </c>
      <c r="F29" s="63" t="s">
        <v>206</v>
      </c>
      <c r="G29" s="17">
        <v>62988</v>
      </c>
      <c r="H29" s="17">
        <v>155832</v>
      </c>
      <c r="I29" s="52">
        <f>H29/G29</f>
        <v>2.473995046675557</v>
      </c>
      <c r="J29" s="17">
        <v>6392</v>
      </c>
    </row>
    <row r="30" spans="1:10" ht="5.25" customHeight="1">
      <c r="A30" s="57"/>
      <c r="B30" s="17"/>
      <c r="C30" s="17"/>
      <c r="D30" s="51"/>
      <c r="E30" s="20"/>
      <c r="F30" s="63"/>
      <c r="G30" s="17"/>
      <c r="H30" s="17"/>
      <c r="I30" s="52"/>
      <c r="J30" s="17"/>
    </row>
    <row r="31" spans="1:10" ht="13.5">
      <c r="A31" s="57" t="s">
        <v>235</v>
      </c>
      <c r="B31" s="17">
        <v>15601</v>
      </c>
      <c r="C31" s="17">
        <v>63373</v>
      </c>
      <c r="D31" s="51">
        <f t="shared" si="0"/>
        <v>4.062111403115185</v>
      </c>
      <c r="E31" s="17">
        <v>7210</v>
      </c>
      <c r="F31" s="63" t="s">
        <v>236</v>
      </c>
      <c r="G31" s="17">
        <v>64455</v>
      </c>
      <c r="H31" s="17">
        <v>157228</v>
      </c>
      <c r="I31" s="52">
        <f>H31/G31</f>
        <v>2.439345279652471</v>
      </c>
      <c r="J31" s="17">
        <v>6449</v>
      </c>
    </row>
    <row r="32" spans="1:10" ht="13.5">
      <c r="A32" s="57" t="s">
        <v>177</v>
      </c>
      <c r="B32" s="17">
        <v>16138</v>
      </c>
      <c r="C32" s="17">
        <v>64753</v>
      </c>
      <c r="D32" s="51">
        <f t="shared" si="0"/>
        <v>4.012455074978312</v>
      </c>
      <c r="E32" s="17">
        <v>7367</v>
      </c>
      <c r="F32" s="63" t="s">
        <v>207</v>
      </c>
      <c r="G32" s="17">
        <v>65623</v>
      </c>
      <c r="H32" s="17">
        <v>157903</v>
      </c>
      <c r="I32" s="52">
        <f>H32/G32</f>
        <v>2.406214284625817</v>
      </c>
      <c r="J32" s="17">
        <v>6477</v>
      </c>
    </row>
    <row r="33" spans="1:10" ht="13.5">
      <c r="A33" s="57" t="s">
        <v>178</v>
      </c>
      <c r="B33" s="17">
        <v>16491</v>
      </c>
      <c r="C33" s="17">
        <v>67885</v>
      </c>
      <c r="D33" s="51">
        <f t="shared" si="0"/>
        <v>4.116487781213996</v>
      </c>
      <c r="E33" s="17">
        <v>7723</v>
      </c>
      <c r="F33" s="63" t="s">
        <v>208</v>
      </c>
      <c r="G33" s="17">
        <v>66633</v>
      </c>
      <c r="H33" s="17">
        <v>158858</v>
      </c>
      <c r="I33" s="52">
        <f>H33/G33</f>
        <v>2.384073957348461</v>
      </c>
      <c r="J33" s="17">
        <v>6516</v>
      </c>
    </row>
    <row r="34" spans="1:10" ht="13.5">
      <c r="A34" s="57" t="s">
        <v>179</v>
      </c>
      <c r="B34" s="17">
        <v>16827</v>
      </c>
      <c r="C34" s="17">
        <v>68731</v>
      </c>
      <c r="D34" s="51">
        <f t="shared" si="0"/>
        <v>4.084566470553278</v>
      </c>
      <c r="E34" s="17">
        <v>7819</v>
      </c>
      <c r="F34" s="63" t="s">
        <v>209</v>
      </c>
      <c r="G34" s="17">
        <v>67905</v>
      </c>
      <c r="H34" s="17">
        <v>160181</v>
      </c>
      <c r="I34" s="52">
        <f>H34/G34</f>
        <v>2.3588984610853396</v>
      </c>
      <c r="J34" s="17">
        <v>6570</v>
      </c>
    </row>
    <row r="35" spans="1:10" ht="13.5">
      <c r="A35" s="57" t="s">
        <v>180</v>
      </c>
      <c r="B35" s="17">
        <v>17185</v>
      </c>
      <c r="C35" s="17">
        <v>69775</v>
      </c>
      <c r="D35" s="51">
        <f t="shared" si="0"/>
        <v>4.06022694210067</v>
      </c>
      <c r="E35" s="17">
        <v>7938</v>
      </c>
      <c r="F35" s="63" t="s">
        <v>160</v>
      </c>
      <c r="G35" s="17">
        <v>69809</v>
      </c>
      <c r="H35" s="17">
        <v>162549</v>
      </c>
      <c r="I35" s="52">
        <f>H35/G35</f>
        <v>2.3284820008881377</v>
      </c>
      <c r="J35" s="17">
        <v>6667</v>
      </c>
    </row>
    <row r="36" spans="1:10" ht="5.25" customHeight="1">
      <c r="A36" s="57"/>
      <c r="B36" s="17"/>
      <c r="C36" s="17"/>
      <c r="D36" s="51"/>
      <c r="E36" s="17"/>
      <c r="F36" s="63"/>
      <c r="G36" s="17"/>
      <c r="H36" s="17"/>
      <c r="I36" s="52"/>
      <c r="J36" s="17"/>
    </row>
    <row r="37" spans="1:10" ht="13.5">
      <c r="A37" s="57" t="s">
        <v>237</v>
      </c>
      <c r="B37" s="17">
        <v>17997</v>
      </c>
      <c r="C37" s="17">
        <v>70085</v>
      </c>
      <c r="D37" s="51">
        <f t="shared" si="0"/>
        <v>3.8942601544701896</v>
      </c>
      <c r="E37" s="17">
        <v>7973</v>
      </c>
      <c r="F37" s="63" t="s">
        <v>238</v>
      </c>
      <c r="G37" s="17">
        <v>70960</v>
      </c>
      <c r="H37" s="17">
        <v>163421</v>
      </c>
      <c r="I37" s="52">
        <f>H37/G37</f>
        <v>2.303001691093574</v>
      </c>
      <c r="J37" s="17">
        <v>6703</v>
      </c>
    </row>
    <row r="38" spans="1:10" ht="13.5">
      <c r="A38" s="57" t="s">
        <v>181</v>
      </c>
      <c r="B38" s="17">
        <v>19872</v>
      </c>
      <c r="C38" s="17">
        <v>72735</v>
      </c>
      <c r="D38" s="51">
        <f t="shared" si="0"/>
        <v>3.660175120772947</v>
      </c>
      <c r="E38" s="17">
        <v>8275</v>
      </c>
      <c r="F38" s="63" t="s">
        <v>162</v>
      </c>
      <c r="G38" s="17">
        <v>72342</v>
      </c>
      <c r="H38" s="17">
        <v>164639</v>
      </c>
      <c r="I38" s="52">
        <f>H38/G38</f>
        <v>2.2758425257803214</v>
      </c>
      <c r="J38" s="17">
        <v>6753</v>
      </c>
    </row>
    <row r="39" spans="1:10" ht="13.5">
      <c r="A39" s="57" t="s">
        <v>182</v>
      </c>
      <c r="B39" s="17">
        <v>19185</v>
      </c>
      <c r="C39" s="17">
        <v>72796</v>
      </c>
      <c r="D39" s="51">
        <f t="shared" si="0"/>
        <v>3.7944227260880896</v>
      </c>
      <c r="E39" s="17">
        <v>8282</v>
      </c>
      <c r="F39" s="63" t="s">
        <v>163</v>
      </c>
      <c r="G39" s="17">
        <v>73417</v>
      </c>
      <c r="H39" s="17">
        <v>165410</v>
      </c>
      <c r="I39" s="52">
        <f>H39/G39</f>
        <v>2.253020417614449</v>
      </c>
      <c r="J39" s="17">
        <v>6785</v>
      </c>
    </row>
    <row r="40" spans="1:10" ht="13.5">
      <c r="A40" s="57" t="s">
        <v>183</v>
      </c>
      <c r="B40" s="17">
        <v>26563</v>
      </c>
      <c r="C40" s="17">
        <v>97479</v>
      </c>
      <c r="D40" s="51">
        <f t="shared" si="0"/>
        <v>3.6697285698151565</v>
      </c>
      <c r="E40" s="17">
        <v>3989</v>
      </c>
      <c r="F40" s="63" t="s">
        <v>164</v>
      </c>
      <c r="G40" s="17">
        <v>74657</v>
      </c>
      <c r="H40" s="17">
        <v>166829</v>
      </c>
      <c r="I40" s="52">
        <f>H40/G40</f>
        <v>2.234606265989793</v>
      </c>
      <c r="J40" s="17">
        <v>6843</v>
      </c>
    </row>
    <row r="41" spans="1:10" ht="13.5">
      <c r="A41" s="57" t="s">
        <v>184</v>
      </c>
      <c r="B41" s="17">
        <v>27924</v>
      </c>
      <c r="C41" s="17">
        <v>99012</v>
      </c>
      <c r="D41" s="51">
        <v>3.6</v>
      </c>
      <c r="E41" s="17">
        <v>4051</v>
      </c>
      <c r="F41" s="63" t="s">
        <v>165</v>
      </c>
      <c r="G41" s="17">
        <v>76050</v>
      </c>
      <c r="H41" s="17">
        <v>168828</v>
      </c>
      <c r="I41" s="52">
        <f>H41/G41</f>
        <v>2.2199605522682444</v>
      </c>
      <c r="J41" s="17">
        <v>6925</v>
      </c>
    </row>
    <row r="42" spans="1:10" ht="5.25" customHeight="1">
      <c r="A42" s="57"/>
      <c r="B42" s="17"/>
      <c r="C42" s="17"/>
      <c r="D42" s="51"/>
      <c r="E42" s="17"/>
      <c r="F42" s="63"/>
      <c r="G42" s="17"/>
      <c r="H42" s="17"/>
      <c r="I42" s="52"/>
      <c r="J42" s="17"/>
    </row>
    <row r="43" spans="1:10" ht="13.5">
      <c r="A43" s="57" t="s">
        <v>239</v>
      </c>
      <c r="B43" s="17">
        <v>30911</v>
      </c>
      <c r="C43" s="17">
        <v>101687</v>
      </c>
      <c r="D43" s="51">
        <f t="shared" si="0"/>
        <v>3.2896703438905246</v>
      </c>
      <c r="E43" s="17">
        <v>4161</v>
      </c>
      <c r="F43" s="63" t="s">
        <v>240</v>
      </c>
      <c r="G43" s="17">
        <v>77170</v>
      </c>
      <c r="H43" s="17">
        <v>169768</v>
      </c>
      <c r="I43" s="52">
        <f>H43/G43</f>
        <v>2.1999222495788517</v>
      </c>
      <c r="J43" s="17">
        <v>6963</v>
      </c>
    </row>
    <row r="44" spans="1:10" ht="13.5">
      <c r="A44" s="57" t="s">
        <v>185</v>
      </c>
      <c r="B44" s="17">
        <v>32984</v>
      </c>
      <c r="C44" s="17">
        <v>105352</v>
      </c>
      <c r="D44" s="51">
        <f t="shared" si="0"/>
        <v>3.1940334707737086</v>
      </c>
      <c r="E44" s="17">
        <v>4311</v>
      </c>
      <c r="F44" s="63" t="s">
        <v>241</v>
      </c>
      <c r="G44" s="17">
        <v>78581</v>
      </c>
      <c r="H44" s="17">
        <v>171325</v>
      </c>
      <c r="I44" s="52">
        <f>H44/G44</f>
        <v>2.1802344078085034</v>
      </c>
      <c r="J44" s="17">
        <v>7027</v>
      </c>
    </row>
    <row r="45" spans="1:10" ht="13.5">
      <c r="A45" s="57" t="s">
        <v>186</v>
      </c>
      <c r="B45" s="17">
        <v>36022</v>
      </c>
      <c r="C45" s="17">
        <v>112350</v>
      </c>
      <c r="D45" s="51">
        <f t="shared" si="0"/>
        <v>3.1189273221919938</v>
      </c>
      <c r="E45" s="17">
        <v>4620</v>
      </c>
      <c r="F45" s="63" t="s">
        <v>168</v>
      </c>
      <c r="G45" s="17">
        <v>79876</v>
      </c>
      <c r="H45" s="17">
        <v>172547</v>
      </c>
      <c r="I45" s="52">
        <f>H45/G45</f>
        <v>2.1601857879713555</v>
      </c>
      <c r="J45" s="17">
        <f>H45/24.38</f>
        <v>7077.399507793273</v>
      </c>
    </row>
    <row r="46" spans="1:10" ht="13.5">
      <c r="A46" s="57" t="s">
        <v>187</v>
      </c>
      <c r="B46" s="17">
        <v>37783</v>
      </c>
      <c r="C46" s="17">
        <v>115353</v>
      </c>
      <c r="D46" s="51">
        <f t="shared" si="0"/>
        <v>3.0530397268612868</v>
      </c>
      <c r="E46" s="17">
        <v>4743</v>
      </c>
      <c r="F46" s="63" t="s">
        <v>218</v>
      </c>
      <c r="G46" s="29">
        <v>80942</v>
      </c>
      <c r="H46" s="29">
        <v>173692</v>
      </c>
      <c r="I46" s="180">
        <f>H46/G46</f>
        <v>2.1458822366632897</v>
      </c>
      <c r="J46" s="29">
        <f>H46/24.38</f>
        <v>7124.364232977851</v>
      </c>
    </row>
    <row r="47" spans="1:10" ht="13.5">
      <c r="A47" s="57" t="s">
        <v>188</v>
      </c>
      <c r="B47" s="17">
        <v>36252</v>
      </c>
      <c r="C47" s="17">
        <v>115240</v>
      </c>
      <c r="D47" s="51">
        <f t="shared" si="0"/>
        <v>3.1788590974291075</v>
      </c>
      <c r="E47" s="17">
        <v>4738</v>
      </c>
      <c r="F47" s="63" t="s">
        <v>265</v>
      </c>
      <c r="G47" s="17">
        <v>81794</v>
      </c>
      <c r="H47" s="17">
        <v>174458</v>
      </c>
      <c r="I47" s="180">
        <f>H47/G47</f>
        <v>2.1328948333618603</v>
      </c>
      <c r="J47" s="29">
        <f>H47/24.38</f>
        <v>7155.783429040197</v>
      </c>
    </row>
    <row r="48" spans="1:10" ht="5.25" customHeight="1">
      <c r="A48" s="56"/>
      <c r="B48" s="23"/>
      <c r="C48" s="20"/>
      <c r="D48" s="53"/>
      <c r="E48" s="20"/>
      <c r="F48" s="64"/>
      <c r="G48" s="20"/>
      <c r="H48" s="20"/>
      <c r="I48" s="20"/>
      <c r="J48" s="20"/>
    </row>
    <row r="49" spans="1:10" ht="13.5" customHeight="1">
      <c r="A49" s="57" t="s">
        <v>242</v>
      </c>
      <c r="B49" s="17">
        <v>37665</v>
      </c>
      <c r="C49" s="17">
        <v>117444</v>
      </c>
      <c r="D49" s="51">
        <f>C49/B49</f>
        <v>3.118120270808443</v>
      </c>
      <c r="E49" s="17">
        <v>4829</v>
      </c>
      <c r="F49" s="182" t="s">
        <v>266</v>
      </c>
      <c r="G49" s="1">
        <v>82567</v>
      </c>
      <c r="H49" s="1">
        <v>174920</v>
      </c>
      <c r="I49" s="196">
        <f>H49/G49</f>
        <v>2.1185219276466385</v>
      </c>
      <c r="J49" s="5">
        <f>H49/24.38</f>
        <v>7174.73338802297</v>
      </c>
    </row>
    <row r="50" spans="1:10" ht="13.5" customHeight="1">
      <c r="A50" s="57" t="s">
        <v>189</v>
      </c>
      <c r="B50" s="17">
        <v>42135</v>
      </c>
      <c r="C50" s="17">
        <v>129395</v>
      </c>
      <c r="D50" s="51">
        <f>C50/B50</f>
        <v>3.0709623828171355</v>
      </c>
      <c r="E50" s="17">
        <v>5321</v>
      </c>
      <c r="F50" s="64"/>
      <c r="G50" s="20"/>
      <c r="H50" s="20"/>
      <c r="I50" s="20"/>
      <c r="J50" s="20"/>
    </row>
    <row r="51" spans="1:10" ht="13.5" customHeight="1">
      <c r="A51" s="57" t="s">
        <v>190</v>
      </c>
      <c r="B51" s="17">
        <v>43434</v>
      </c>
      <c r="C51" s="17">
        <v>132501</v>
      </c>
      <c r="D51" s="51">
        <f>C51/B51</f>
        <v>3.050628539853571</v>
      </c>
      <c r="E51" s="17">
        <v>5448</v>
      </c>
      <c r="F51" s="64"/>
      <c r="G51" s="20"/>
      <c r="H51" s="20"/>
      <c r="I51" s="20"/>
      <c r="J51" s="20"/>
    </row>
    <row r="52" spans="1:10" ht="13.5" customHeight="1">
      <c r="A52" s="57" t="s">
        <v>191</v>
      </c>
      <c r="B52" s="17">
        <v>45080</v>
      </c>
      <c r="C52" s="17">
        <v>135049</v>
      </c>
      <c r="D52" s="51">
        <f>C52/B52</f>
        <v>2.9957630878438333</v>
      </c>
      <c r="E52" s="17">
        <v>5581</v>
      </c>
      <c r="F52" s="64"/>
      <c r="G52" s="20"/>
      <c r="H52" s="20"/>
      <c r="I52" s="20"/>
      <c r="J52" s="20"/>
    </row>
    <row r="53" spans="1:10" ht="13.5" customHeight="1">
      <c r="A53" s="57" t="s">
        <v>192</v>
      </c>
      <c r="B53" s="17">
        <v>45520</v>
      </c>
      <c r="C53" s="17">
        <v>136513</v>
      </c>
      <c r="D53" s="51">
        <f>C53/B53</f>
        <v>2.9989674868189806</v>
      </c>
      <c r="E53" s="17">
        <v>5641</v>
      </c>
      <c r="F53" s="64"/>
      <c r="G53" s="20"/>
      <c r="H53" s="20"/>
      <c r="I53" s="20"/>
      <c r="J53" s="20"/>
    </row>
    <row r="54" spans="1:10" ht="5.25" customHeight="1">
      <c r="A54" s="31"/>
      <c r="B54" s="23"/>
      <c r="C54" s="20"/>
      <c r="D54" s="20"/>
      <c r="E54" s="20"/>
      <c r="F54" s="65"/>
      <c r="G54" s="20"/>
      <c r="H54" s="20"/>
      <c r="I54" s="20"/>
      <c r="J54" s="20"/>
    </row>
    <row r="55" spans="1:10" s="161" customFormat="1" ht="13.5">
      <c r="A55" s="159" t="s">
        <v>223</v>
      </c>
      <c r="B55" s="160"/>
      <c r="C55" s="160"/>
      <c r="D55" s="160"/>
      <c r="E55" s="160"/>
      <c r="F55" s="160"/>
      <c r="G55" s="160"/>
      <c r="H55" s="160"/>
      <c r="I55" s="160"/>
      <c r="J55" s="160"/>
    </row>
    <row r="56" spans="1:10" s="161" customFormat="1" ht="13.5">
      <c r="A56" s="163" t="s">
        <v>256</v>
      </c>
      <c r="B56" s="162"/>
      <c r="C56" s="162"/>
      <c r="D56" s="162"/>
      <c r="E56" s="162"/>
      <c r="F56" s="162"/>
      <c r="G56" s="162"/>
      <c r="H56" s="162"/>
      <c r="I56" s="162"/>
      <c r="J56" s="162"/>
    </row>
    <row r="57" spans="1:10" s="161" customFormat="1" ht="13.5">
      <c r="A57" s="163" t="s">
        <v>257</v>
      </c>
      <c r="B57" s="162"/>
      <c r="C57" s="162"/>
      <c r="D57" s="162"/>
      <c r="E57" s="162"/>
      <c r="F57" s="162"/>
      <c r="G57" s="162"/>
      <c r="H57" s="162"/>
      <c r="I57" s="162"/>
      <c r="J57" s="162"/>
    </row>
    <row r="58" spans="1:10" s="161" customFormat="1" ht="13.5">
      <c r="A58" s="163" t="s">
        <v>255</v>
      </c>
      <c r="B58" s="162"/>
      <c r="C58" s="162"/>
      <c r="D58" s="162"/>
      <c r="E58" s="162"/>
      <c r="F58" s="162"/>
      <c r="G58" s="162"/>
      <c r="H58" s="162"/>
      <c r="I58" s="162"/>
      <c r="J58" s="162"/>
    </row>
    <row r="59" ht="13.5">
      <c r="A59" s="163" t="s">
        <v>263</v>
      </c>
    </row>
  </sheetData>
  <sheetProtection/>
  <mergeCells count="6">
    <mergeCell ref="G4:G5"/>
    <mergeCell ref="H4:H5"/>
    <mergeCell ref="A4:A5"/>
    <mergeCell ref="B4:B5"/>
    <mergeCell ref="C4:C5"/>
    <mergeCell ref="F4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R3" sqref="R3"/>
    </sheetView>
  </sheetViews>
  <sheetFormatPr defaultColWidth="9.00390625" defaultRowHeight="13.5"/>
  <cols>
    <col min="1" max="1" width="3.125" style="187" customWidth="1"/>
    <col min="2" max="2" width="9.375" style="187" customWidth="1"/>
    <col min="3" max="3" width="1.875" style="187" customWidth="1"/>
    <col min="4" max="4" width="6.875" style="187" customWidth="1"/>
    <col min="5" max="6" width="1.25" style="187" customWidth="1"/>
    <col min="7" max="7" width="7.50390625" style="187" customWidth="1"/>
    <col min="8" max="9" width="1.25" style="187" customWidth="1"/>
    <col min="10" max="10" width="7.50390625" style="187" customWidth="1"/>
    <col min="11" max="11" width="1.25" style="187" customWidth="1"/>
    <col min="12" max="12" width="12.50390625" style="187" customWidth="1"/>
    <col min="13" max="13" width="8.75390625" style="187" customWidth="1"/>
    <col min="14" max="14" width="1.25" style="187" customWidth="1"/>
    <col min="15" max="15" width="8.75390625" style="187" customWidth="1"/>
    <col min="16" max="16" width="2.125" style="187" customWidth="1"/>
    <col min="17" max="17" width="8.75390625" style="187" customWidth="1"/>
    <col min="18" max="18" width="1.25" style="187" customWidth="1"/>
    <col min="19" max="16384" width="9.00390625" style="187" customWidth="1"/>
  </cols>
  <sheetData>
    <row r="1" s="213" customFormat="1" ht="15.75" customHeight="1">
      <c r="A1" s="179" t="s">
        <v>320</v>
      </c>
    </row>
    <row r="2" spans="1:18" s="175" customFormat="1" ht="19.5" customHeight="1">
      <c r="A2" s="9" t="s">
        <v>337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27" t="s">
        <v>296</v>
      </c>
    </row>
    <row r="4" spans="1:18" ht="22.5" customHeight="1">
      <c r="A4" s="326" t="s">
        <v>60</v>
      </c>
      <c r="B4" s="223"/>
      <c r="C4" s="354" t="s">
        <v>8</v>
      </c>
      <c r="D4" s="354"/>
      <c r="E4" s="354"/>
      <c r="F4" s="354" t="s">
        <v>9</v>
      </c>
      <c r="G4" s="354"/>
      <c r="H4" s="354"/>
      <c r="I4" s="354" t="s">
        <v>10</v>
      </c>
      <c r="J4" s="354"/>
      <c r="K4" s="355"/>
      <c r="L4" s="151" t="s">
        <v>60</v>
      </c>
      <c r="M4" s="354" t="s">
        <v>8</v>
      </c>
      <c r="N4" s="354"/>
      <c r="O4" s="354" t="s">
        <v>9</v>
      </c>
      <c r="P4" s="354"/>
      <c r="Q4" s="354" t="s">
        <v>10</v>
      </c>
      <c r="R4" s="355"/>
    </row>
    <row r="5" spans="1:18" ht="22.5" customHeight="1">
      <c r="A5" s="358" t="s">
        <v>11</v>
      </c>
      <c r="B5" s="359"/>
      <c r="C5" s="5"/>
      <c r="D5" s="189">
        <f>SUM(G5,J5)</f>
        <v>10340</v>
      </c>
      <c r="E5" s="5"/>
      <c r="F5" s="5"/>
      <c r="G5" s="189">
        <f>SUM(G7:G19,G22:G33,O7:O28,O30:O31)</f>
        <v>5386</v>
      </c>
      <c r="H5" s="5"/>
      <c r="I5" s="5"/>
      <c r="J5" s="189">
        <f>SUM(J7:J19,J22:J33,Q7:Q28,Q30:Q31)</f>
        <v>4954</v>
      </c>
      <c r="K5" s="5"/>
      <c r="L5" s="152"/>
      <c r="M5" s="150"/>
      <c r="N5" s="150"/>
      <c r="O5" s="150"/>
      <c r="P5" s="150"/>
      <c r="Q5" s="150"/>
      <c r="R5" s="20"/>
    </row>
    <row r="6" spans="1:18" ht="5.25" customHeight="1">
      <c r="A6" s="356"/>
      <c r="B6" s="357"/>
      <c r="C6" s="115"/>
      <c r="D6" s="115"/>
      <c r="E6" s="115"/>
      <c r="F6" s="115"/>
      <c r="G6" s="115"/>
      <c r="H6" s="115"/>
      <c r="I6" s="29"/>
      <c r="J6" s="29"/>
      <c r="K6" s="29"/>
      <c r="L6" s="153"/>
      <c r="M6" s="150"/>
      <c r="N6" s="150"/>
      <c r="O6" s="150"/>
      <c r="P6" s="150"/>
      <c r="Q6" s="150"/>
      <c r="R6" s="20"/>
    </row>
    <row r="7" spans="1:17" s="20" customFormat="1" ht="22.5" customHeight="1">
      <c r="A7" s="356" t="s">
        <v>61</v>
      </c>
      <c r="B7" s="357"/>
      <c r="C7" s="29"/>
      <c r="D7" s="29">
        <f>SUM(G7,J7)</f>
        <v>157</v>
      </c>
      <c r="E7" s="29"/>
      <c r="F7" s="29"/>
      <c r="G7" s="29">
        <v>88</v>
      </c>
      <c r="H7" s="29"/>
      <c r="I7" s="29"/>
      <c r="J7" s="29">
        <v>69</v>
      </c>
      <c r="K7" s="29"/>
      <c r="L7" s="154" t="s">
        <v>86</v>
      </c>
      <c r="M7" s="190">
        <f>SUM(O7,Q7)</f>
        <v>44</v>
      </c>
      <c r="N7" s="29"/>
      <c r="O7" s="29">
        <v>20</v>
      </c>
      <c r="P7" s="29"/>
      <c r="Q7" s="29">
        <v>24</v>
      </c>
    </row>
    <row r="8" spans="1:17" s="20" customFormat="1" ht="22.5" customHeight="1">
      <c r="A8" s="356" t="s">
        <v>62</v>
      </c>
      <c r="B8" s="357"/>
      <c r="C8" s="29"/>
      <c r="D8" s="29">
        <f aca="true" t="shared" si="0" ref="D8:D33">SUM(G8,J8)</f>
        <v>74</v>
      </c>
      <c r="E8" s="29"/>
      <c r="F8" s="29"/>
      <c r="G8" s="29">
        <v>41</v>
      </c>
      <c r="H8" s="29">
        <v>23</v>
      </c>
      <c r="I8" s="29"/>
      <c r="J8" s="29">
        <v>33</v>
      </c>
      <c r="K8" s="29"/>
      <c r="L8" s="154" t="s">
        <v>87</v>
      </c>
      <c r="M8" s="190">
        <f aca="true" t="shared" si="1" ref="M8:M30">SUM(O8,Q8)</f>
        <v>154</v>
      </c>
      <c r="N8" s="29"/>
      <c r="O8" s="29">
        <v>82</v>
      </c>
      <c r="P8" s="29"/>
      <c r="Q8" s="29">
        <v>72</v>
      </c>
    </row>
    <row r="9" spans="1:17" s="20" customFormat="1" ht="22.5" customHeight="1">
      <c r="A9" s="356" t="s">
        <v>63</v>
      </c>
      <c r="B9" s="357"/>
      <c r="C9" s="29"/>
      <c r="D9" s="29">
        <f t="shared" si="0"/>
        <v>50</v>
      </c>
      <c r="E9" s="29"/>
      <c r="F9" s="29"/>
      <c r="G9" s="29">
        <v>23</v>
      </c>
      <c r="H9" s="29"/>
      <c r="I9" s="29"/>
      <c r="J9" s="29">
        <v>27</v>
      </c>
      <c r="K9" s="29"/>
      <c r="L9" s="154" t="s">
        <v>88</v>
      </c>
      <c r="M9" s="190">
        <f t="shared" si="1"/>
        <v>64</v>
      </c>
      <c r="N9" s="29"/>
      <c r="O9" s="29">
        <v>37</v>
      </c>
      <c r="P9" s="29"/>
      <c r="Q9" s="29">
        <v>27</v>
      </c>
    </row>
    <row r="10" spans="1:17" s="20" customFormat="1" ht="22.5" customHeight="1">
      <c r="A10" s="356" t="s">
        <v>64</v>
      </c>
      <c r="B10" s="357"/>
      <c r="C10" s="29"/>
      <c r="D10" s="29">
        <f t="shared" si="0"/>
        <v>118</v>
      </c>
      <c r="E10" s="29"/>
      <c r="F10" s="29"/>
      <c r="G10" s="29">
        <v>62</v>
      </c>
      <c r="H10" s="29"/>
      <c r="I10" s="29"/>
      <c r="J10" s="29">
        <v>56</v>
      </c>
      <c r="K10" s="29"/>
      <c r="L10" s="154" t="s">
        <v>89</v>
      </c>
      <c r="M10" s="190">
        <f t="shared" si="1"/>
        <v>24</v>
      </c>
      <c r="N10" s="29"/>
      <c r="O10" s="29">
        <v>12</v>
      </c>
      <c r="P10" s="29"/>
      <c r="Q10" s="29">
        <v>12</v>
      </c>
    </row>
    <row r="11" spans="1:17" s="20" customFormat="1" ht="22.5" customHeight="1">
      <c r="A11" s="356" t="s">
        <v>65</v>
      </c>
      <c r="B11" s="357"/>
      <c r="C11" s="29"/>
      <c r="D11" s="29">
        <f t="shared" si="0"/>
        <v>44</v>
      </c>
      <c r="E11" s="29"/>
      <c r="F11" s="29"/>
      <c r="G11" s="29">
        <v>22</v>
      </c>
      <c r="H11" s="29"/>
      <c r="I11" s="29"/>
      <c r="J11" s="29">
        <v>22</v>
      </c>
      <c r="K11" s="29"/>
      <c r="L11" s="154" t="s">
        <v>90</v>
      </c>
      <c r="M11" s="190">
        <f t="shared" si="1"/>
        <v>19</v>
      </c>
      <c r="N11" s="29"/>
      <c r="O11" s="29">
        <v>6</v>
      </c>
      <c r="P11" s="29"/>
      <c r="Q11" s="29">
        <v>13</v>
      </c>
    </row>
    <row r="12" spans="1:17" s="20" customFormat="1" ht="22.5" customHeight="1">
      <c r="A12" s="356" t="s">
        <v>66</v>
      </c>
      <c r="B12" s="357"/>
      <c r="C12" s="29"/>
      <c r="D12" s="29">
        <f t="shared" si="0"/>
        <v>32</v>
      </c>
      <c r="E12" s="29"/>
      <c r="F12" s="29"/>
      <c r="G12" s="29">
        <v>17</v>
      </c>
      <c r="H12" s="29"/>
      <c r="I12" s="29"/>
      <c r="J12" s="29">
        <v>15</v>
      </c>
      <c r="K12" s="29"/>
      <c r="L12" s="154" t="s">
        <v>91</v>
      </c>
      <c r="M12" s="190">
        <f t="shared" si="1"/>
        <v>18</v>
      </c>
      <c r="N12" s="29"/>
      <c r="O12" s="29">
        <v>12</v>
      </c>
      <c r="P12" s="29"/>
      <c r="Q12" s="29">
        <v>6</v>
      </c>
    </row>
    <row r="13" spans="1:17" s="20" customFormat="1" ht="22.5" customHeight="1">
      <c r="A13" s="356" t="s">
        <v>67</v>
      </c>
      <c r="B13" s="357"/>
      <c r="C13" s="29"/>
      <c r="D13" s="29">
        <f t="shared" si="0"/>
        <v>79</v>
      </c>
      <c r="E13" s="29"/>
      <c r="F13" s="29"/>
      <c r="G13" s="29">
        <v>36</v>
      </c>
      <c r="H13" s="29"/>
      <c r="I13" s="29"/>
      <c r="J13" s="29">
        <v>43</v>
      </c>
      <c r="K13" s="29"/>
      <c r="L13" s="154" t="s">
        <v>92</v>
      </c>
      <c r="M13" s="190">
        <f t="shared" si="1"/>
        <v>12</v>
      </c>
      <c r="N13" s="29"/>
      <c r="O13" s="29">
        <v>5</v>
      </c>
      <c r="P13" s="29"/>
      <c r="Q13" s="29">
        <v>7</v>
      </c>
    </row>
    <row r="14" spans="1:17" s="20" customFormat="1" ht="22.5" customHeight="1">
      <c r="A14" s="356" t="s">
        <v>68</v>
      </c>
      <c r="B14" s="357"/>
      <c r="C14" s="29"/>
      <c r="D14" s="29">
        <f t="shared" si="0"/>
        <v>121</v>
      </c>
      <c r="E14" s="29"/>
      <c r="F14" s="29"/>
      <c r="G14" s="29">
        <v>66</v>
      </c>
      <c r="H14" s="29"/>
      <c r="I14" s="29"/>
      <c r="J14" s="29">
        <v>55</v>
      </c>
      <c r="K14" s="29"/>
      <c r="L14" s="154" t="s">
        <v>93</v>
      </c>
      <c r="M14" s="190">
        <f t="shared" si="1"/>
        <v>25</v>
      </c>
      <c r="N14" s="29"/>
      <c r="O14" s="29">
        <v>14</v>
      </c>
      <c r="P14" s="29"/>
      <c r="Q14" s="29">
        <v>11</v>
      </c>
    </row>
    <row r="15" spans="1:17" s="20" customFormat="1" ht="22.5" customHeight="1">
      <c r="A15" s="356" t="s">
        <v>69</v>
      </c>
      <c r="B15" s="357"/>
      <c r="C15" s="29"/>
      <c r="D15" s="29">
        <f t="shared" si="0"/>
        <v>105</v>
      </c>
      <c r="E15" s="29"/>
      <c r="F15" s="29"/>
      <c r="G15" s="29">
        <v>60</v>
      </c>
      <c r="H15" s="29"/>
      <c r="I15" s="29"/>
      <c r="J15" s="29">
        <v>45</v>
      </c>
      <c r="K15" s="29"/>
      <c r="L15" s="154" t="s">
        <v>94</v>
      </c>
      <c r="M15" s="190">
        <f t="shared" si="1"/>
        <v>67</v>
      </c>
      <c r="N15" s="29"/>
      <c r="O15" s="29">
        <v>35</v>
      </c>
      <c r="P15" s="29"/>
      <c r="Q15" s="29">
        <v>32</v>
      </c>
    </row>
    <row r="16" spans="1:17" s="20" customFormat="1" ht="22.5" customHeight="1">
      <c r="A16" s="356" t="s">
        <v>70</v>
      </c>
      <c r="B16" s="357"/>
      <c r="C16" s="29"/>
      <c r="D16" s="29">
        <f t="shared" si="0"/>
        <v>99</v>
      </c>
      <c r="E16" s="29"/>
      <c r="F16" s="29"/>
      <c r="G16" s="29">
        <v>45</v>
      </c>
      <c r="H16" s="29"/>
      <c r="I16" s="29"/>
      <c r="J16" s="29">
        <v>54</v>
      </c>
      <c r="K16" s="29"/>
      <c r="L16" s="154" t="s">
        <v>95</v>
      </c>
      <c r="M16" s="190">
        <f t="shared" si="1"/>
        <v>24</v>
      </c>
      <c r="N16" s="29"/>
      <c r="O16" s="29">
        <v>13</v>
      </c>
      <c r="P16" s="29"/>
      <c r="Q16" s="29">
        <v>11</v>
      </c>
    </row>
    <row r="17" spans="1:17" s="20" customFormat="1" ht="22.5" customHeight="1">
      <c r="A17" s="356" t="s">
        <v>71</v>
      </c>
      <c r="B17" s="357"/>
      <c r="C17" s="29"/>
      <c r="D17" s="29">
        <f t="shared" si="0"/>
        <v>594</v>
      </c>
      <c r="E17" s="29"/>
      <c r="F17" s="29"/>
      <c r="G17" s="29">
        <v>320</v>
      </c>
      <c r="H17" s="29"/>
      <c r="I17" s="29"/>
      <c r="J17" s="29">
        <v>274</v>
      </c>
      <c r="K17" s="29"/>
      <c r="L17" s="154" t="s">
        <v>96</v>
      </c>
      <c r="M17" s="190">
        <f t="shared" si="1"/>
        <v>13</v>
      </c>
      <c r="N17" s="29"/>
      <c r="O17" s="29">
        <v>6</v>
      </c>
      <c r="P17" s="29"/>
      <c r="Q17" s="29">
        <v>7</v>
      </c>
    </row>
    <row r="18" spans="1:17" s="20" customFormat="1" ht="22.5" customHeight="1">
      <c r="A18" s="356" t="s">
        <v>111</v>
      </c>
      <c r="B18" s="357"/>
      <c r="C18" s="29"/>
      <c r="D18" s="29">
        <f t="shared" si="0"/>
        <v>379</v>
      </c>
      <c r="E18" s="29"/>
      <c r="F18" s="29"/>
      <c r="G18" s="29">
        <v>212</v>
      </c>
      <c r="H18" s="29"/>
      <c r="I18" s="29"/>
      <c r="J18" s="29">
        <v>167</v>
      </c>
      <c r="K18" s="29"/>
      <c r="L18" s="154" t="s">
        <v>97</v>
      </c>
      <c r="M18" s="190">
        <f t="shared" si="1"/>
        <v>25</v>
      </c>
      <c r="N18" s="29"/>
      <c r="O18" s="29">
        <v>8</v>
      </c>
      <c r="P18" s="29"/>
      <c r="Q18" s="29">
        <v>17</v>
      </c>
    </row>
    <row r="19" spans="1:17" s="20" customFormat="1" ht="22.5" customHeight="1">
      <c r="A19" s="356" t="s">
        <v>72</v>
      </c>
      <c r="B19" s="357"/>
      <c r="C19" s="29"/>
      <c r="D19" s="29">
        <f t="shared" si="0"/>
        <v>5731</v>
      </c>
      <c r="E19" s="29"/>
      <c r="F19" s="29"/>
      <c r="G19" s="29">
        <f>SUM(G20:G21)</f>
        <v>2976</v>
      </c>
      <c r="H19" s="29"/>
      <c r="I19" s="29"/>
      <c r="J19" s="29">
        <f>SUM(J20:J21)</f>
        <v>2755</v>
      </c>
      <c r="K19" s="29"/>
      <c r="L19" s="154" t="s">
        <v>98</v>
      </c>
      <c r="M19" s="190">
        <f t="shared" si="1"/>
        <v>12</v>
      </c>
      <c r="N19" s="29"/>
      <c r="O19" s="29">
        <v>2</v>
      </c>
      <c r="P19" s="29"/>
      <c r="Q19" s="29">
        <v>10</v>
      </c>
    </row>
    <row r="20" spans="1:17" s="20" customFormat="1" ht="22.5" customHeight="1">
      <c r="A20" s="156"/>
      <c r="B20" s="157" t="s">
        <v>110</v>
      </c>
      <c r="C20" s="29" t="s">
        <v>251</v>
      </c>
      <c r="D20" s="29">
        <f t="shared" si="0"/>
        <v>1383</v>
      </c>
      <c r="E20" s="29" t="s">
        <v>252</v>
      </c>
      <c r="F20" s="29" t="s">
        <v>253</v>
      </c>
      <c r="G20" s="29">
        <v>753</v>
      </c>
      <c r="H20" s="29" t="s">
        <v>252</v>
      </c>
      <c r="I20" s="29" t="s">
        <v>253</v>
      </c>
      <c r="J20" s="29">
        <v>630</v>
      </c>
      <c r="K20" s="29" t="s">
        <v>254</v>
      </c>
      <c r="L20" s="154" t="s">
        <v>99</v>
      </c>
      <c r="M20" s="190">
        <f t="shared" si="1"/>
        <v>26</v>
      </c>
      <c r="N20" s="29"/>
      <c r="O20" s="29">
        <v>12</v>
      </c>
      <c r="P20" s="29"/>
      <c r="Q20" s="29">
        <v>14</v>
      </c>
    </row>
    <row r="21" spans="1:17" s="20" customFormat="1" ht="22.5" customHeight="1">
      <c r="A21" s="156"/>
      <c r="B21" s="157" t="s">
        <v>73</v>
      </c>
      <c r="C21" s="29" t="s">
        <v>251</v>
      </c>
      <c r="D21" s="29">
        <f t="shared" si="0"/>
        <v>4348</v>
      </c>
      <c r="E21" s="29" t="s">
        <v>252</v>
      </c>
      <c r="F21" s="29" t="s">
        <v>253</v>
      </c>
      <c r="G21" s="29">
        <v>2223</v>
      </c>
      <c r="H21" s="29" t="s">
        <v>252</v>
      </c>
      <c r="I21" s="29" t="s">
        <v>253</v>
      </c>
      <c r="J21" s="29">
        <v>2125</v>
      </c>
      <c r="K21" s="29" t="s">
        <v>254</v>
      </c>
      <c r="L21" s="154" t="s">
        <v>100</v>
      </c>
      <c r="M21" s="190">
        <f t="shared" si="1"/>
        <v>141</v>
      </c>
      <c r="N21" s="29"/>
      <c r="O21" s="29">
        <v>68</v>
      </c>
      <c r="P21" s="29"/>
      <c r="Q21" s="29">
        <v>73</v>
      </c>
    </row>
    <row r="22" spans="1:17" s="20" customFormat="1" ht="22.5" customHeight="1">
      <c r="A22" s="356" t="s">
        <v>74</v>
      </c>
      <c r="B22" s="357"/>
      <c r="C22" s="29"/>
      <c r="D22" s="29">
        <f t="shared" si="0"/>
        <v>731</v>
      </c>
      <c r="E22" s="29"/>
      <c r="F22" s="29"/>
      <c r="G22" s="29">
        <v>394</v>
      </c>
      <c r="H22" s="29"/>
      <c r="I22" s="29"/>
      <c r="J22" s="29">
        <v>337</v>
      </c>
      <c r="K22" s="29"/>
      <c r="L22" s="154" t="s">
        <v>101</v>
      </c>
      <c r="M22" s="190">
        <f t="shared" si="1"/>
        <v>18</v>
      </c>
      <c r="N22" s="29"/>
      <c r="O22" s="29">
        <v>8</v>
      </c>
      <c r="P22" s="29"/>
      <c r="Q22" s="29">
        <v>10</v>
      </c>
    </row>
    <row r="23" spans="1:17" s="20" customFormat="1" ht="22.5" customHeight="1">
      <c r="A23" s="356" t="s">
        <v>75</v>
      </c>
      <c r="B23" s="357"/>
      <c r="C23" s="29"/>
      <c r="D23" s="29">
        <f t="shared" si="0"/>
        <v>87</v>
      </c>
      <c r="E23" s="29"/>
      <c r="F23" s="29"/>
      <c r="G23" s="29">
        <v>40</v>
      </c>
      <c r="H23" s="29"/>
      <c r="I23" s="29"/>
      <c r="J23" s="29">
        <v>47</v>
      </c>
      <c r="K23" s="29"/>
      <c r="L23" s="154" t="s">
        <v>102</v>
      </c>
      <c r="M23" s="190">
        <f t="shared" si="1"/>
        <v>36</v>
      </c>
      <c r="N23" s="29"/>
      <c r="O23" s="29">
        <v>20</v>
      </c>
      <c r="P23" s="29"/>
      <c r="Q23" s="29">
        <v>16</v>
      </c>
    </row>
    <row r="24" spans="1:17" s="20" customFormat="1" ht="22.5" customHeight="1">
      <c r="A24" s="356" t="s">
        <v>76</v>
      </c>
      <c r="B24" s="357"/>
      <c r="C24" s="29"/>
      <c r="D24" s="29">
        <f t="shared" si="0"/>
        <v>21</v>
      </c>
      <c r="E24" s="29"/>
      <c r="F24" s="29"/>
      <c r="G24" s="29">
        <v>8</v>
      </c>
      <c r="H24" s="29"/>
      <c r="I24" s="29"/>
      <c r="J24" s="29">
        <v>13</v>
      </c>
      <c r="K24" s="29"/>
      <c r="L24" s="154" t="s">
        <v>103</v>
      </c>
      <c r="M24" s="190">
        <f t="shared" si="1"/>
        <v>26</v>
      </c>
      <c r="N24" s="29"/>
      <c r="O24" s="29">
        <v>16</v>
      </c>
      <c r="P24" s="29"/>
      <c r="Q24" s="29">
        <v>10</v>
      </c>
    </row>
    <row r="25" spans="1:17" s="20" customFormat="1" ht="22.5" customHeight="1">
      <c r="A25" s="356" t="s">
        <v>77</v>
      </c>
      <c r="B25" s="357"/>
      <c r="C25" s="29"/>
      <c r="D25" s="29">
        <f t="shared" si="0"/>
        <v>26</v>
      </c>
      <c r="E25" s="29"/>
      <c r="F25" s="29"/>
      <c r="G25" s="29">
        <v>13</v>
      </c>
      <c r="H25" s="29"/>
      <c r="I25" s="29"/>
      <c r="J25" s="29">
        <v>13</v>
      </c>
      <c r="K25" s="29"/>
      <c r="L25" s="154" t="s">
        <v>104</v>
      </c>
      <c r="M25" s="190">
        <f t="shared" si="1"/>
        <v>26</v>
      </c>
      <c r="N25" s="29"/>
      <c r="O25" s="29">
        <v>15</v>
      </c>
      <c r="P25" s="29"/>
      <c r="Q25" s="29">
        <v>11</v>
      </c>
    </row>
    <row r="26" spans="1:17" s="20" customFormat="1" ht="22.5" customHeight="1">
      <c r="A26" s="356" t="s">
        <v>78</v>
      </c>
      <c r="B26" s="357"/>
      <c r="C26" s="29"/>
      <c r="D26" s="29">
        <f t="shared" si="0"/>
        <v>22</v>
      </c>
      <c r="E26" s="29"/>
      <c r="F26" s="29"/>
      <c r="G26" s="29">
        <v>10</v>
      </c>
      <c r="H26" s="29"/>
      <c r="I26" s="29"/>
      <c r="J26" s="29">
        <v>12</v>
      </c>
      <c r="K26" s="29"/>
      <c r="L26" s="154" t="s">
        <v>105</v>
      </c>
      <c r="M26" s="190">
        <f t="shared" si="1"/>
        <v>34</v>
      </c>
      <c r="N26" s="29"/>
      <c r="O26" s="29">
        <v>16</v>
      </c>
      <c r="P26" s="29"/>
      <c r="Q26" s="29">
        <v>18</v>
      </c>
    </row>
    <row r="27" spans="1:17" s="20" customFormat="1" ht="22.5" customHeight="1">
      <c r="A27" s="356" t="s">
        <v>79</v>
      </c>
      <c r="B27" s="357"/>
      <c r="C27" s="29"/>
      <c r="D27" s="29">
        <f t="shared" si="0"/>
        <v>139</v>
      </c>
      <c r="E27" s="29"/>
      <c r="F27" s="29"/>
      <c r="G27" s="29">
        <v>69</v>
      </c>
      <c r="H27" s="29"/>
      <c r="I27" s="29"/>
      <c r="J27" s="29">
        <v>70</v>
      </c>
      <c r="K27" s="29"/>
      <c r="L27" s="154" t="s">
        <v>106</v>
      </c>
      <c r="M27" s="190">
        <f t="shared" si="1"/>
        <v>48</v>
      </c>
      <c r="N27" s="29"/>
      <c r="O27" s="29">
        <v>28</v>
      </c>
      <c r="P27" s="29"/>
      <c r="Q27" s="29">
        <v>20</v>
      </c>
    </row>
    <row r="28" spans="1:17" s="20" customFormat="1" ht="22.5" customHeight="1">
      <c r="A28" s="356" t="s">
        <v>80</v>
      </c>
      <c r="B28" s="357"/>
      <c r="C28" s="29"/>
      <c r="D28" s="29">
        <f t="shared" si="0"/>
        <v>119</v>
      </c>
      <c r="E28" s="29"/>
      <c r="F28" s="29"/>
      <c r="G28" s="29">
        <v>58</v>
      </c>
      <c r="H28" s="29"/>
      <c r="I28" s="29"/>
      <c r="J28" s="29">
        <v>61</v>
      </c>
      <c r="K28" s="29"/>
      <c r="L28" s="154" t="s">
        <v>107</v>
      </c>
      <c r="M28" s="190">
        <f t="shared" si="1"/>
        <v>67</v>
      </c>
      <c r="N28" s="29"/>
      <c r="O28" s="29">
        <v>38</v>
      </c>
      <c r="P28" s="29"/>
      <c r="Q28" s="29">
        <v>29</v>
      </c>
    </row>
    <row r="29" spans="1:17" s="20" customFormat="1" ht="22.5" customHeight="1">
      <c r="A29" s="356" t="s">
        <v>81</v>
      </c>
      <c r="B29" s="357"/>
      <c r="C29" s="29"/>
      <c r="D29" s="29">
        <f t="shared" si="0"/>
        <v>36</v>
      </c>
      <c r="E29" s="29"/>
      <c r="F29" s="29"/>
      <c r="G29" s="29">
        <v>18</v>
      </c>
      <c r="H29" s="29"/>
      <c r="I29" s="29"/>
      <c r="J29" s="29">
        <v>18</v>
      </c>
      <c r="K29" s="29"/>
      <c r="L29" s="154"/>
      <c r="M29" s="29"/>
      <c r="N29" s="29"/>
      <c r="O29" s="29"/>
      <c r="P29" s="29"/>
      <c r="Q29" s="29"/>
    </row>
    <row r="30" spans="1:17" s="20" customFormat="1" ht="22.5" customHeight="1">
      <c r="A30" s="356" t="s">
        <v>82</v>
      </c>
      <c r="B30" s="357"/>
      <c r="C30" s="29"/>
      <c r="D30" s="29">
        <f t="shared" si="0"/>
        <v>142</v>
      </c>
      <c r="E30" s="29"/>
      <c r="F30" s="29"/>
      <c r="G30" s="29">
        <v>70</v>
      </c>
      <c r="H30" s="29"/>
      <c r="I30" s="29"/>
      <c r="J30" s="29">
        <v>72</v>
      </c>
      <c r="K30" s="29"/>
      <c r="L30" s="154" t="s">
        <v>108</v>
      </c>
      <c r="M30" s="190">
        <f t="shared" si="1"/>
        <v>327</v>
      </c>
      <c r="N30" s="29"/>
      <c r="O30" s="29">
        <v>152</v>
      </c>
      <c r="P30" s="29"/>
      <c r="Q30" s="29">
        <v>175</v>
      </c>
    </row>
    <row r="31" spans="1:17" s="20" customFormat="1" ht="22.5" customHeight="1">
      <c r="A31" s="356" t="s">
        <v>83</v>
      </c>
      <c r="B31" s="357"/>
      <c r="C31" s="29"/>
      <c r="D31" s="29">
        <f t="shared" si="0"/>
        <v>132</v>
      </c>
      <c r="E31" s="29"/>
      <c r="F31" s="29"/>
      <c r="G31" s="29">
        <v>79</v>
      </c>
      <c r="H31" s="29"/>
      <c r="I31" s="29"/>
      <c r="J31" s="29">
        <v>53</v>
      </c>
      <c r="K31" s="29"/>
      <c r="L31" s="169" t="s">
        <v>109</v>
      </c>
      <c r="M31" s="190" t="s">
        <v>244</v>
      </c>
      <c r="N31" s="29"/>
      <c r="O31" s="29" t="s">
        <v>244</v>
      </c>
      <c r="P31" s="29"/>
      <c r="Q31" s="29" t="s">
        <v>244</v>
      </c>
    </row>
    <row r="32" spans="1:17" s="20" customFormat="1" ht="22.5" customHeight="1">
      <c r="A32" s="356" t="s">
        <v>84</v>
      </c>
      <c r="B32" s="357"/>
      <c r="C32" s="29"/>
      <c r="D32" s="29">
        <f t="shared" si="0"/>
        <v>32</v>
      </c>
      <c r="E32" s="29"/>
      <c r="F32" s="29"/>
      <c r="G32" s="29">
        <v>23</v>
      </c>
      <c r="H32" s="29"/>
      <c r="I32" s="29"/>
      <c r="J32" s="29">
        <v>9</v>
      </c>
      <c r="K32" s="29"/>
      <c r="L32" s="154"/>
      <c r="M32" s="17"/>
      <c r="N32" s="17"/>
      <c r="O32" s="17"/>
      <c r="P32" s="17"/>
      <c r="Q32" s="17"/>
    </row>
    <row r="33" spans="1:17" s="20" customFormat="1" ht="22.5" customHeight="1">
      <c r="A33" s="360" t="s">
        <v>85</v>
      </c>
      <c r="B33" s="361"/>
      <c r="C33" s="29"/>
      <c r="D33" s="49">
        <f t="shared" si="0"/>
        <v>20</v>
      </c>
      <c r="E33" s="29"/>
      <c r="F33" s="29"/>
      <c r="G33" s="49">
        <v>11</v>
      </c>
      <c r="H33" s="29"/>
      <c r="I33" s="29"/>
      <c r="J33" s="49">
        <v>9</v>
      </c>
      <c r="K33" s="29"/>
      <c r="L33" s="155"/>
      <c r="M33" s="29"/>
      <c r="N33" s="29"/>
      <c r="O33" s="29"/>
      <c r="P33" s="29"/>
      <c r="Q33" s="29"/>
    </row>
    <row r="34" spans="1:17" s="20" customFormat="1" ht="13.5">
      <c r="A34" s="203" t="s">
        <v>223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="20" customFormat="1" ht="13.5">
      <c r="A35" s="204" t="s">
        <v>262</v>
      </c>
    </row>
  </sheetData>
  <sheetProtection/>
  <mergeCells count="34">
    <mergeCell ref="A33:B33"/>
    <mergeCell ref="A6:B6"/>
    <mergeCell ref="A29:B29"/>
    <mergeCell ref="A30:B30"/>
    <mergeCell ref="A31:B31"/>
    <mergeCell ref="A32:B32"/>
    <mergeCell ref="A25:B25"/>
    <mergeCell ref="A18:B18"/>
    <mergeCell ref="A26:B26"/>
    <mergeCell ref="A27:B27"/>
    <mergeCell ref="A13:B13"/>
    <mergeCell ref="A14:B14"/>
    <mergeCell ref="A15:B15"/>
    <mergeCell ref="A16:B16"/>
    <mergeCell ref="A17:B17"/>
    <mergeCell ref="A28:B28"/>
    <mergeCell ref="A19:B19"/>
    <mergeCell ref="A22:B22"/>
    <mergeCell ref="A23:B23"/>
    <mergeCell ref="A24:B24"/>
    <mergeCell ref="A8:B8"/>
    <mergeCell ref="A9:B9"/>
    <mergeCell ref="A5:B5"/>
    <mergeCell ref="A10:B10"/>
    <mergeCell ref="A11:B11"/>
    <mergeCell ref="A12:B12"/>
    <mergeCell ref="O4:P4"/>
    <mergeCell ref="Q4:R4"/>
    <mergeCell ref="A4:B4"/>
    <mergeCell ref="A7:B7"/>
    <mergeCell ref="C4:E4"/>
    <mergeCell ref="F4:H4"/>
    <mergeCell ref="I4:K4"/>
    <mergeCell ref="M4:N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38　　　　人　口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J20" sqref="J20"/>
    </sheetView>
  </sheetViews>
  <sheetFormatPr defaultColWidth="9.00390625" defaultRowHeight="13.5"/>
  <cols>
    <col min="1" max="1" width="15.00390625" style="2" customWidth="1"/>
    <col min="2" max="5" width="16.625" style="2" customWidth="1"/>
    <col min="6" max="6" width="9.00390625" style="2" hidden="1" customWidth="1"/>
    <col min="7" max="16384" width="9.00390625" style="2" customWidth="1"/>
  </cols>
  <sheetData>
    <row r="1" spans="1:6" ht="26.25" customHeight="1">
      <c r="A1" s="6"/>
      <c r="B1" s="6"/>
      <c r="C1" s="6"/>
      <c r="D1" s="6"/>
      <c r="F1" s="362" t="s">
        <v>338</v>
      </c>
    </row>
    <row r="2" spans="1:4" ht="22.5" customHeight="1">
      <c r="A2" s="16" t="s">
        <v>339</v>
      </c>
      <c r="B2" s="16"/>
      <c r="C2" s="16"/>
      <c r="D2" s="16"/>
    </row>
    <row r="3" spans="1:5" ht="13.5" customHeight="1">
      <c r="A3" s="363"/>
      <c r="B3" s="26"/>
      <c r="C3" s="26"/>
      <c r="D3" s="364"/>
      <c r="E3" s="364" t="s">
        <v>340</v>
      </c>
    </row>
    <row r="4" spans="1:6" ht="22.5" customHeight="1">
      <c r="A4" s="365"/>
      <c r="B4" s="42" t="s">
        <v>341</v>
      </c>
      <c r="C4" s="42" t="s">
        <v>9</v>
      </c>
      <c r="D4" s="85" t="s">
        <v>10</v>
      </c>
      <c r="E4" s="366" t="s">
        <v>342</v>
      </c>
      <c r="F4" s="95" t="s">
        <v>343</v>
      </c>
    </row>
    <row r="5" spans="1:4" ht="5.25" customHeight="1">
      <c r="A5" s="367"/>
      <c r="B5" s="368"/>
      <c r="C5" s="368"/>
      <c r="D5" s="368"/>
    </row>
    <row r="6" spans="1:6" s="373" customFormat="1" ht="18.75" customHeight="1">
      <c r="A6" s="3" t="s">
        <v>344</v>
      </c>
      <c r="B6" s="369">
        <v>4017752</v>
      </c>
      <c r="C6" s="370">
        <v>2002743</v>
      </c>
      <c r="D6" s="370">
        <v>2015009</v>
      </c>
      <c r="E6" s="371">
        <v>5125.141275368975</v>
      </c>
      <c r="F6" s="372" t="e">
        <f>SUM(#REF!)</f>
        <v>#REF!</v>
      </c>
    </row>
    <row r="7" spans="1:6" ht="5.25" customHeight="1">
      <c r="A7" s="95"/>
      <c r="B7" s="374"/>
      <c r="C7" s="375"/>
      <c r="D7" s="375"/>
      <c r="E7" s="376"/>
      <c r="F7" s="377"/>
    </row>
    <row r="8" spans="1:6" s="22" customFormat="1" ht="13.5" customHeight="1">
      <c r="A8" s="378" t="s">
        <v>267</v>
      </c>
      <c r="B8" s="374">
        <v>554413</v>
      </c>
      <c r="C8" s="379">
        <v>279335</v>
      </c>
      <c r="D8" s="379">
        <v>275078</v>
      </c>
      <c r="E8" s="379">
        <v>2975.7554613278944</v>
      </c>
      <c r="F8" s="380">
        <v>2975.7554613278944</v>
      </c>
    </row>
    <row r="9" spans="1:6" s="384" customFormat="1" ht="13.5" customHeight="1">
      <c r="A9" s="381" t="s">
        <v>268</v>
      </c>
      <c r="B9" s="369">
        <v>174920</v>
      </c>
      <c r="C9" s="382">
        <v>87475</v>
      </c>
      <c r="D9" s="382">
        <v>87445</v>
      </c>
      <c r="E9" s="382">
        <v>7174.73338802297</v>
      </c>
      <c r="F9" s="383">
        <v>7174.73338802297</v>
      </c>
    </row>
    <row r="10" spans="1:6" s="22" customFormat="1" ht="13.5" customHeight="1">
      <c r="A10" s="378" t="s">
        <v>269</v>
      </c>
      <c r="B10" s="374">
        <v>135596</v>
      </c>
      <c r="C10" s="379">
        <v>65215</v>
      </c>
      <c r="D10" s="379">
        <v>70381</v>
      </c>
      <c r="E10" s="379">
        <v>12637.092264678471</v>
      </c>
      <c r="F10" s="380">
        <v>12637.092264678471</v>
      </c>
    </row>
    <row r="11" spans="1:6" s="22" customFormat="1" ht="13.5" customHeight="1">
      <c r="A11" s="378" t="s">
        <v>270</v>
      </c>
      <c r="B11" s="374">
        <v>176471</v>
      </c>
      <c r="C11" s="379">
        <v>87034</v>
      </c>
      <c r="D11" s="379">
        <v>89437</v>
      </c>
      <c r="E11" s="379">
        <v>10695.212121212122</v>
      </c>
      <c r="F11" s="380">
        <v>10695.212121212122</v>
      </c>
    </row>
    <row r="12" spans="1:6" s="22" customFormat="1" ht="13.5" customHeight="1">
      <c r="A12" s="378" t="s">
        <v>271</v>
      </c>
      <c r="B12" s="374">
        <v>138412</v>
      </c>
      <c r="C12" s="379">
        <v>69759</v>
      </c>
      <c r="D12" s="379">
        <v>68653</v>
      </c>
      <c r="E12" s="379">
        <v>1340.4222351346116</v>
      </c>
      <c r="F12" s="380">
        <v>1340.4222351346116</v>
      </c>
    </row>
    <row r="13" spans="1:6" s="22" customFormat="1" ht="5.25" customHeight="1">
      <c r="A13" s="378" t="s">
        <v>272</v>
      </c>
      <c r="B13" s="374"/>
      <c r="C13" s="379"/>
      <c r="D13" s="379"/>
      <c r="E13" s="379"/>
      <c r="F13" s="380"/>
    </row>
    <row r="14" spans="1:6" s="22" customFormat="1" ht="13.5" customHeight="1">
      <c r="A14" s="378" t="s">
        <v>273</v>
      </c>
      <c r="B14" s="374">
        <v>246667</v>
      </c>
      <c r="C14" s="379">
        <v>125754</v>
      </c>
      <c r="D14" s="379">
        <v>120913</v>
      </c>
      <c r="E14" s="379">
        <v>8407.191547375596</v>
      </c>
      <c r="F14" s="380">
        <v>8407.191547375596</v>
      </c>
    </row>
    <row r="15" spans="1:6" s="22" customFormat="1" ht="13.5" customHeight="1">
      <c r="A15" s="378" t="s">
        <v>274</v>
      </c>
      <c r="B15" s="374">
        <v>111459</v>
      </c>
      <c r="C15" s="379">
        <v>56154</v>
      </c>
      <c r="D15" s="379">
        <v>55305</v>
      </c>
      <c r="E15" s="379">
        <v>6431.563762261974</v>
      </c>
      <c r="F15" s="380">
        <v>6431.563762261974</v>
      </c>
    </row>
    <row r="16" spans="1:6" s="22" customFormat="1" ht="13.5" customHeight="1">
      <c r="A16" s="378" t="s">
        <v>275</v>
      </c>
      <c r="B16" s="374">
        <v>217383</v>
      </c>
      <c r="C16" s="379">
        <v>107641</v>
      </c>
      <c r="D16" s="379">
        <v>109742</v>
      </c>
      <c r="E16" s="379">
        <v>10096.748722712493</v>
      </c>
      <c r="F16" s="380">
        <v>10096.748722712493</v>
      </c>
    </row>
    <row r="17" spans="1:6" s="22" customFormat="1" ht="13.5" customHeight="1">
      <c r="A17" s="378" t="s">
        <v>276</v>
      </c>
      <c r="B17" s="374">
        <v>419525</v>
      </c>
      <c r="C17" s="379">
        <v>207106</v>
      </c>
      <c r="D17" s="379">
        <v>212419</v>
      </c>
      <c r="E17" s="379">
        <v>5856.833728884546</v>
      </c>
      <c r="F17" s="380">
        <v>5856.833728884546</v>
      </c>
    </row>
    <row r="18" spans="1:6" s="22" customFormat="1" ht="13.5" customHeight="1">
      <c r="A18" s="378" t="s">
        <v>277</v>
      </c>
      <c r="B18" s="374">
        <v>113209</v>
      </c>
      <c r="C18" s="379">
        <v>56443</v>
      </c>
      <c r="D18" s="379">
        <v>56766</v>
      </c>
      <c r="E18" s="379">
        <v>9991.968225948809</v>
      </c>
      <c r="F18" s="380">
        <v>9991.968225948809</v>
      </c>
    </row>
    <row r="19" spans="1:6" s="22" customFormat="1" ht="5.25" customHeight="1">
      <c r="A19" s="378"/>
      <c r="B19" s="374"/>
      <c r="C19" s="379"/>
      <c r="D19" s="379"/>
      <c r="E19" s="379"/>
      <c r="F19" s="380"/>
    </row>
    <row r="20" spans="1:6" s="22" customFormat="1" ht="13.5" customHeight="1">
      <c r="A20" s="378" t="s">
        <v>278</v>
      </c>
      <c r="B20" s="374">
        <v>179728</v>
      </c>
      <c r="C20" s="379">
        <v>89289</v>
      </c>
      <c r="D20" s="379">
        <v>90439</v>
      </c>
      <c r="E20" s="379">
        <v>8784.35972629521</v>
      </c>
      <c r="F20" s="380">
        <v>8784.35972629521</v>
      </c>
    </row>
    <row r="21" spans="1:6" s="22" customFormat="1" ht="13.5" customHeight="1">
      <c r="A21" s="378" t="s">
        <v>279</v>
      </c>
      <c r="B21" s="374">
        <v>175253</v>
      </c>
      <c r="C21" s="379">
        <v>88696</v>
      </c>
      <c r="D21" s="379">
        <v>86557</v>
      </c>
      <c r="E21" s="379">
        <v>6365.891754449691</v>
      </c>
      <c r="F21" s="380">
        <v>6365.891754449691</v>
      </c>
    </row>
    <row r="22" spans="1:6" s="22" customFormat="1" ht="13.5" customHeight="1">
      <c r="A22" s="378" t="s">
        <v>280</v>
      </c>
      <c r="B22" s="374">
        <v>150801</v>
      </c>
      <c r="C22" s="379">
        <v>74624</v>
      </c>
      <c r="D22" s="379">
        <v>76177</v>
      </c>
      <c r="E22" s="379">
        <v>8782.818870122306</v>
      </c>
      <c r="F22" s="380">
        <v>8782.818870122306</v>
      </c>
    </row>
    <row r="23" spans="1:6" s="22" customFormat="1" ht="13.5" customHeight="1">
      <c r="A23" s="378" t="s">
        <v>281</v>
      </c>
      <c r="B23" s="374">
        <v>115704</v>
      </c>
      <c r="C23" s="379">
        <v>57544</v>
      </c>
      <c r="D23" s="379">
        <v>58160</v>
      </c>
      <c r="E23" s="379">
        <v>10078.745644599303</v>
      </c>
      <c r="F23" s="380">
        <v>10078.745644599303</v>
      </c>
    </row>
    <row r="24" spans="1:6" s="22" customFormat="1" ht="13.5" customHeight="1">
      <c r="A24" s="378" t="s">
        <v>282</v>
      </c>
      <c r="B24" s="374">
        <v>72970</v>
      </c>
      <c r="C24" s="379">
        <v>36157</v>
      </c>
      <c r="D24" s="379">
        <v>36813</v>
      </c>
      <c r="E24" s="379">
        <v>8953.374233128834</v>
      </c>
      <c r="F24" s="380">
        <v>8953.374233128834</v>
      </c>
    </row>
    <row r="25" spans="1:6" s="22" customFormat="1" ht="5.25" customHeight="1">
      <c r="A25" s="385"/>
      <c r="B25" s="374"/>
      <c r="C25" s="379"/>
      <c r="D25" s="379"/>
      <c r="E25" s="379"/>
      <c r="F25" s="386"/>
    </row>
    <row r="26" spans="1:6" s="22" customFormat="1" ht="13.5" customHeight="1">
      <c r="A26" s="387" t="s">
        <v>283</v>
      </c>
      <c r="B26" s="374">
        <v>57572</v>
      </c>
      <c r="C26" s="379">
        <v>28982</v>
      </c>
      <c r="D26" s="379">
        <v>28590</v>
      </c>
      <c r="E26" s="379">
        <v>5622.265625</v>
      </c>
      <c r="F26" s="380">
        <v>5622.265625</v>
      </c>
    </row>
    <row r="27" spans="1:6" s="22" customFormat="1" ht="13.5" customHeight="1">
      <c r="A27" s="387" t="s">
        <v>284</v>
      </c>
      <c r="B27" s="374">
        <v>76085</v>
      </c>
      <c r="C27" s="379">
        <v>37359</v>
      </c>
      <c r="D27" s="379">
        <v>38726</v>
      </c>
      <c r="E27" s="379">
        <v>11906.885758998436</v>
      </c>
      <c r="F27" s="380">
        <v>11906.885758998436</v>
      </c>
    </row>
    <row r="28" spans="1:6" s="22" customFormat="1" ht="13.5" customHeight="1">
      <c r="A28" s="387" t="s">
        <v>285</v>
      </c>
      <c r="B28" s="374">
        <v>83283</v>
      </c>
      <c r="C28" s="379">
        <v>41431</v>
      </c>
      <c r="D28" s="379">
        <v>41852</v>
      </c>
      <c r="E28" s="379">
        <v>6150.886262924668</v>
      </c>
      <c r="F28" s="380">
        <v>6150.886262924668</v>
      </c>
    </row>
    <row r="29" spans="1:6" s="22" customFormat="1" ht="13.5" customHeight="1">
      <c r="A29" s="387" t="s">
        <v>345</v>
      </c>
      <c r="B29" s="374">
        <v>72984</v>
      </c>
      <c r="C29" s="379">
        <v>35484</v>
      </c>
      <c r="D29" s="379">
        <v>37500</v>
      </c>
      <c r="E29" s="379">
        <v>7162.315996074583</v>
      </c>
      <c r="F29" s="380">
        <v>7162.315996074583</v>
      </c>
    </row>
    <row r="30" spans="1:6" s="22" customFormat="1" ht="13.5" customHeight="1">
      <c r="A30" s="387" t="s">
        <v>286</v>
      </c>
      <c r="B30" s="374">
        <v>114772</v>
      </c>
      <c r="C30" s="379">
        <v>56760</v>
      </c>
      <c r="D30" s="379">
        <v>58012</v>
      </c>
      <c r="E30" s="379">
        <v>8883.28173374613</v>
      </c>
      <c r="F30" s="380">
        <v>8883.28173374613</v>
      </c>
    </row>
    <row r="31" spans="1:6" s="22" customFormat="1" ht="5.25" customHeight="1">
      <c r="A31" s="387"/>
      <c r="B31" s="374"/>
      <c r="C31" s="379"/>
      <c r="D31" s="379"/>
      <c r="E31" s="379"/>
      <c r="F31" s="380"/>
    </row>
    <row r="32" spans="1:6" s="22" customFormat="1" ht="13.5" customHeight="1">
      <c r="A32" s="387" t="s">
        <v>287</v>
      </c>
      <c r="B32" s="374">
        <v>70469</v>
      </c>
      <c r="C32" s="379">
        <v>35429</v>
      </c>
      <c r="D32" s="379">
        <v>35040</v>
      </c>
      <c r="E32" s="379">
        <v>4584.84059856864</v>
      </c>
      <c r="F32" s="380">
        <v>4584.84059856864</v>
      </c>
    </row>
    <row r="33" spans="1:6" s="22" customFormat="1" ht="13.5" customHeight="1">
      <c r="A33" s="387" t="s">
        <v>288</v>
      </c>
      <c r="B33" s="374">
        <v>145076</v>
      </c>
      <c r="C33" s="379">
        <v>71948</v>
      </c>
      <c r="D33" s="379">
        <v>73128</v>
      </c>
      <c r="E33" s="379">
        <v>6882.163187855788</v>
      </c>
      <c r="F33" s="380">
        <v>6882.163187855788</v>
      </c>
    </row>
    <row r="34" spans="1:6" s="22" customFormat="1" ht="13.5" customHeight="1">
      <c r="A34" s="387" t="s">
        <v>289</v>
      </c>
      <c r="B34" s="374">
        <v>83575</v>
      </c>
      <c r="C34" s="379">
        <v>42399</v>
      </c>
      <c r="D34" s="379">
        <v>41176</v>
      </c>
      <c r="E34" s="379">
        <v>4650.806900389538</v>
      </c>
      <c r="F34" s="380">
        <v>4650.806900389538</v>
      </c>
    </row>
    <row r="35" spans="1:6" s="22" customFormat="1" ht="13.5" customHeight="1">
      <c r="A35" s="387" t="s">
        <v>290</v>
      </c>
      <c r="B35" s="374">
        <v>56050</v>
      </c>
      <c r="C35" s="379">
        <v>28610</v>
      </c>
      <c r="D35" s="379">
        <v>27440</v>
      </c>
      <c r="E35" s="379">
        <v>5655.903128153381</v>
      </c>
      <c r="F35" s="380">
        <v>5655.903128153381</v>
      </c>
    </row>
    <row r="36" spans="1:6" s="22" customFormat="1" ht="13.5" customHeight="1">
      <c r="A36" s="387" t="s">
        <v>291</v>
      </c>
      <c r="B36" s="374">
        <v>81249</v>
      </c>
      <c r="C36" s="379">
        <v>40721</v>
      </c>
      <c r="D36" s="379">
        <v>40528</v>
      </c>
      <c r="E36" s="379">
        <v>1107.8401963457868</v>
      </c>
      <c r="F36" s="380">
        <v>1107.8401963457868</v>
      </c>
    </row>
    <row r="37" spans="1:6" s="22" customFormat="1" ht="5.25" customHeight="1">
      <c r="A37" s="387"/>
      <c r="B37" s="374"/>
      <c r="C37" s="379"/>
      <c r="D37" s="379"/>
      <c r="E37" s="379"/>
      <c r="F37" s="380"/>
    </row>
    <row r="38" spans="1:6" s="22" customFormat="1" ht="13.5" customHeight="1">
      <c r="A38" s="387" t="s">
        <v>292</v>
      </c>
      <c r="B38" s="374">
        <v>194126</v>
      </c>
      <c r="C38" s="379">
        <v>95394</v>
      </c>
      <c r="D38" s="379">
        <v>98732</v>
      </c>
      <c r="E38" s="379">
        <v>12247.697160883281</v>
      </c>
      <c r="F38" s="380">
        <v>12247.697160883281</v>
      </c>
    </row>
    <row r="39" spans="1:6" s="20" customFormat="1" ht="5.25" customHeight="1">
      <c r="A39" s="220"/>
      <c r="B39" s="66"/>
      <c r="C39" s="67"/>
      <c r="D39" s="67"/>
      <c r="E39" s="88"/>
      <c r="F39" s="22"/>
    </row>
    <row r="40" spans="1:4" s="20" customFormat="1" ht="13.5">
      <c r="A40" s="197" t="s">
        <v>264</v>
      </c>
      <c r="B40" s="26"/>
      <c r="C40" s="26"/>
      <c r="D40" s="26"/>
    </row>
    <row r="41" spans="1:4" s="20" customFormat="1" ht="13.5">
      <c r="A41" s="197" t="s">
        <v>258</v>
      </c>
      <c r="B41" s="26"/>
      <c r="C41" s="26"/>
      <c r="D41" s="26"/>
    </row>
    <row r="43" ht="13.5">
      <c r="A43" s="388"/>
    </row>
    <row r="44" ht="13.5">
      <c r="A44" s="388"/>
    </row>
    <row r="45" ht="13.5">
      <c r="A45" s="388"/>
    </row>
    <row r="46" ht="13.5">
      <c r="A46" s="388"/>
    </row>
    <row r="47" ht="13.5">
      <c r="A47" s="388"/>
    </row>
    <row r="48" ht="13.5">
      <c r="A48" s="38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&amp;R&amp;8人　口　　　　31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">
      <pane ySplit="5" topLeftCell="A6" activePane="bottomLeft" state="frozen"/>
      <selection pane="topLeft" activeCell="C25" sqref="C25"/>
      <selection pane="bottomLeft" activeCell="E7" sqref="E7:E116"/>
    </sheetView>
  </sheetViews>
  <sheetFormatPr defaultColWidth="9.00390625" defaultRowHeight="13.5"/>
  <cols>
    <col min="1" max="1" width="3.75390625" style="2" customWidth="1"/>
    <col min="2" max="2" width="7.50390625" style="2" customWidth="1"/>
    <col min="3" max="3" width="1.4921875" style="2" customWidth="1"/>
    <col min="4" max="6" width="9.125" style="2" customWidth="1"/>
    <col min="7" max="8" width="8.75390625" style="2" customWidth="1"/>
    <col min="9" max="9" width="8.75390625" style="15" customWidth="1"/>
    <col min="10" max="11" width="9.50390625" style="2" bestFit="1" customWidth="1"/>
    <col min="12" max="12" width="9.125" style="2" customWidth="1"/>
    <col min="13" max="16384" width="9.00390625" style="2" customWidth="1"/>
  </cols>
  <sheetData>
    <row r="1" s="213" customFormat="1" ht="15.75" customHeight="1">
      <c r="A1" s="179" t="s">
        <v>320</v>
      </c>
    </row>
    <row r="2" spans="1:12" s="6" customFormat="1" ht="19.5" customHeight="1">
      <c r="A2" s="214" t="s">
        <v>322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15.75" customHeight="1">
      <c r="A3" s="76"/>
      <c r="B3" s="76"/>
      <c r="C3" s="76"/>
      <c r="D3" s="76"/>
      <c r="E3" s="76"/>
      <c r="F3" s="76"/>
      <c r="G3" s="76"/>
      <c r="H3" s="76"/>
      <c r="I3" s="77"/>
      <c r="J3" s="27"/>
      <c r="K3" s="27"/>
      <c r="L3" s="27" t="s">
        <v>293</v>
      </c>
    </row>
    <row r="4" spans="1:12" ht="13.5">
      <c r="A4" s="230"/>
      <c r="B4" s="229"/>
      <c r="C4" s="229"/>
      <c r="D4" s="229" t="s">
        <v>5</v>
      </c>
      <c r="E4" s="229" t="s">
        <v>7</v>
      </c>
      <c r="F4" s="229"/>
      <c r="G4" s="229"/>
      <c r="H4" s="82" t="s">
        <v>113</v>
      </c>
      <c r="I4" s="79" t="s">
        <v>219</v>
      </c>
      <c r="J4" s="229" t="s">
        <v>127</v>
      </c>
      <c r="K4" s="229"/>
      <c r="L4" s="84" t="s">
        <v>4</v>
      </c>
    </row>
    <row r="5" spans="1:12" ht="13.5">
      <c r="A5" s="231"/>
      <c r="B5" s="232"/>
      <c r="C5" s="232"/>
      <c r="D5" s="232"/>
      <c r="E5" s="80" t="s">
        <v>8</v>
      </c>
      <c r="F5" s="80" t="s">
        <v>9</v>
      </c>
      <c r="G5" s="80" t="s">
        <v>10</v>
      </c>
      <c r="H5" s="83" t="s">
        <v>2</v>
      </c>
      <c r="I5" s="81"/>
      <c r="J5" s="80" t="s">
        <v>35</v>
      </c>
      <c r="K5" s="80" t="s">
        <v>112</v>
      </c>
      <c r="L5" s="85" t="s">
        <v>156</v>
      </c>
    </row>
    <row r="6" spans="1:12" ht="6" customHeight="1">
      <c r="A6" s="228"/>
      <c r="B6" s="228"/>
      <c r="C6" s="86"/>
      <c r="D6" s="68"/>
      <c r="E6" s="32"/>
      <c r="F6" s="32"/>
      <c r="G6" s="32"/>
      <c r="H6" s="69"/>
      <c r="I6" s="70"/>
      <c r="J6" s="32"/>
      <c r="K6" s="32"/>
      <c r="L6" s="20"/>
    </row>
    <row r="7" spans="1:12" s="175" customFormat="1" ht="13.5">
      <c r="A7" s="227" t="s">
        <v>114</v>
      </c>
      <c r="B7" s="227"/>
      <c r="C7" s="87"/>
      <c r="D7" s="7">
        <f>SUM(D9,D18,D26,D34,D39,D44,D49,D51,D59,'3表'!D65,'3表'!D73,'3表'!D82,'3表'!D92,'3表'!D101,'3表'!D109,'3表'!D80)</f>
        <v>82567</v>
      </c>
      <c r="E7" s="7">
        <f>SUM(F7:G7)</f>
        <v>174920</v>
      </c>
      <c r="F7" s="7">
        <f>SUM(F9,F18,F26,F34,F39,F44,F49,F51,F59,'3表'!F65,'3表'!F73,'3表'!F82,'3表'!F92,'3表'!F101,'3表'!F109,'3表'!F80)</f>
        <v>87475</v>
      </c>
      <c r="G7" s="7">
        <f>SUM(G9,G18,G26,G34,G39,G44,G49,G51,G59,'3表'!G65,'3表'!G73,'3表'!G82,'3表'!G92,'3表'!G101,'3表'!G109,'3表'!G80)</f>
        <v>87445</v>
      </c>
      <c r="H7" s="178">
        <f>E7/D7</f>
        <v>2.1185219276466385</v>
      </c>
      <c r="I7" s="7">
        <v>174458</v>
      </c>
      <c r="J7" s="7">
        <f>E7-I7</f>
        <v>462</v>
      </c>
      <c r="K7" s="14">
        <f>J7/I7*100</f>
        <v>0.26482018594733403</v>
      </c>
      <c r="L7" s="4">
        <f>E7/24.38</f>
        <v>7174.73338802297</v>
      </c>
    </row>
    <row r="8" spans="1:12" ht="6" customHeight="1">
      <c r="A8" s="233"/>
      <c r="B8" s="233"/>
      <c r="C8" s="56"/>
      <c r="D8" s="18"/>
      <c r="E8" s="19"/>
      <c r="F8" s="19"/>
      <c r="G8" s="19"/>
      <c r="H8" s="41"/>
      <c r="I8" s="19"/>
      <c r="J8" s="19"/>
      <c r="K8" s="41"/>
      <c r="L8" s="19"/>
    </row>
    <row r="9" spans="1:12" s="175" customFormat="1" ht="13.5">
      <c r="A9" s="227" t="s">
        <v>12</v>
      </c>
      <c r="B9" s="227"/>
      <c r="C9" s="177"/>
      <c r="D9" s="172">
        <v>9512</v>
      </c>
      <c r="E9" s="7">
        <v>19787</v>
      </c>
      <c r="F9" s="7">
        <v>9810</v>
      </c>
      <c r="G9" s="7">
        <v>9977</v>
      </c>
      <c r="H9" s="178">
        <f aca="true" t="shared" si="0" ref="H9:H16">E9/D9</f>
        <v>2.080214465937763</v>
      </c>
      <c r="I9" s="7">
        <v>19552</v>
      </c>
      <c r="J9" s="4">
        <f>SUM(J10:J16)</f>
        <v>235</v>
      </c>
      <c r="K9" s="14">
        <f aca="true" t="shared" si="1" ref="K9:K63">J9/I9*100</f>
        <v>1.201923076923077</v>
      </c>
      <c r="L9" s="4">
        <f>E9/1.746</f>
        <v>11332.760595647194</v>
      </c>
    </row>
    <row r="10" spans="1:12" ht="13.5">
      <c r="A10" s="71"/>
      <c r="B10" s="71" t="s">
        <v>13</v>
      </c>
      <c r="C10" s="23"/>
      <c r="D10" s="174">
        <v>1915</v>
      </c>
      <c r="E10" s="18">
        <v>3924</v>
      </c>
      <c r="F10" s="170">
        <v>1896</v>
      </c>
      <c r="G10" s="170">
        <v>2028</v>
      </c>
      <c r="H10" s="72">
        <f t="shared" si="0"/>
        <v>2.0490861618798957</v>
      </c>
      <c r="I10" s="18">
        <v>3893</v>
      </c>
      <c r="J10" s="19">
        <f aca="true" t="shared" si="2" ref="J10:J16">E10-I10</f>
        <v>31</v>
      </c>
      <c r="K10" s="41">
        <f t="shared" si="1"/>
        <v>0.7963010531723606</v>
      </c>
      <c r="L10" s="19">
        <f>E10/0.239</f>
        <v>16418.410041841005</v>
      </c>
    </row>
    <row r="11" spans="1:12" ht="13.5">
      <c r="A11" s="71"/>
      <c r="B11" s="71" t="s">
        <v>14</v>
      </c>
      <c r="C11" s="23"/>
      <c r="D11" s="174">
        <v>1588</v>
      </c>
      <c r="E11" s="18">
        <v>2982</v>
      </c>
      <c r="F11" s="170">
        <v>1456</v>
      </c>
      <c r="G11" s="170">
        <v>1526</v>
      </c>
      <c r="H11" s="72">
        <f t="shared" si="0"/>
        <v>1.8778337531486147</v>
      </c>
      <c r="I11" s="18">
        <v>2988</v>
      </c>
      <c r="J11" s="19">
        <f t="shared" si="2"/>
        <v>-6</v>
      </c>
      <c r="K11" s="41">
        <f t="shared" si="1"/>
        <v>-0.2008032128514056</v>
      </c>
      <c r="L11" s="19">
        <f>E11/0.238</f>
        <v>12529.411764705883</v>
      </c>
    </row>
    <row r="12" spans="1:12" ht="13.5">
      <c r="A12" s="71"/>
      <c r="B12" s="71" t="s">
        <v>15</v>
      </c>
      <c r="C12" s="23"/>
      <c r="D12" s="174">
        <v>420</v>
      </c>
      <c r="E12" s="18">
        <v>900</v>
      </c>
      <c r="F12" s="170">
        <v>476</v>
      </c>
      <c r="G12" s="170">
        <v>424</v>
      </c>
      <c r="H12" s="72">
        <f t="shared" si="0"/>
        <v>2.142857142857143</v>
      </c>
      <c r="I12" s="18">
        <v>917</v>
      </c>
      <c r="J12" s="19">
        <f t="shared" si="2"/>
        <v>-17</v>
      </c>
      <c r="K12" s="41">
        <f t="shared" si="1"/>
        <v>-1.8538713195201746</v>
      </c>
      <c r="L12" s="19">
        <f>E12/0.294</f>
        <v>3061.2244897959185</v>
      </c>
    </row>
    <row r="13" spans="1:12" ht="13.5">
      <c r="A13" s="71"/>
      <c r="B13" s="71" t="s">
        <v>16</v>
      </c>
      <c r="C13" s="23"/>
      <c r="D13" s="174">
        <v>830</v>
      </c>
      <c r="E13" s="18">
        <v>1715</v>
      </c>
      <c r="F13" s="170">
        <v>881</v>
      </c>
      <c r="G13" s="170">
        <v>834</v>
      </c>
      <c r="H13" s="72">
        <f t="shared" si="0"/>
        <v>2.066265060240964</v>
      </c>
      <c r="I13" s="18">
        <v>1706</v>
      </c>
      <c r="J13" s="19">
        <f t="shared" si="2"/>
        <v>9</v>
      </c>
      <c r="K13" s="41">
        <f t="shared" si="1"/>
        <v>0.5275498241500586</v>
      </c>
      <c r="L13" s="19">
        <f>E13/0.167</f>
        <v>10269.461077844311</v>
      </c>
    </row>
    <row r="14" spans="1:12" ht="13.5">
      <c r="A14" s="71"/>
      <c r="B14" s="71" t="s">
        <v>17</v>
      </c>
      <c r="C14" s="23"/>
      <c r="D14" s="174">
        <v>682</v>
      </c>
      <c r="E14" s="18">
        <v>1423</v>
      </c>
      <c r="F14" s="170">
        <v>702</v>
      </c>
      <c r="G14" s="170">
        <v>721</v>
      </c>
      <c r="H14" s="72">
        <f t="shared" si="0"/>
        <v>2.0865102639296187</v>
      </c>
      <c r="I14" s="18">
        <v>1433</v>
      </c>
      <c r="J14" s="19">
        <f t="shared" si="2"/>
        <v>-10</v>
      </c>
      <c r="K14" s="41">
        <f t="shared" si="1"/>
        <v>-0.6978367062107467</v>
      </c>
      <c r="L14" s="19">
        <f>E14/0.152</f>
        <v>9361.842105263158</v>
      </c>
    </row>
    <row r="15" spans="1:12" ht="13.5">
      <c r="A15" s="71"/>
      <c r="B15" s="71" t="s">
        <v>18</v>
      </c>
      <c r="C15" s="23"/>
      <c r="D15" s="174">
        <v>2666</v>
      </c>
      <c r="E15" s="18">
        <v>5416</v>
      </c>
      <c r="F15" s="170">
        <v>2688</v>
      </c>
      <c r="G15" s="170">
        <v>2728</v>
      </c>
      <c r="H15" s="72">
        <f t="shared" si="0"/>
        <v>2.0315078769692425</v>
      </c>
      <c r="I15" s="18">
        <v>5285</v>
      </c>
      <c r="J15" s="19">
        <f t="shared" si="2"/>
        <v>131</v>
      </c>
      <c r="K15" s="41">
        <f t="shared" si="1"/>
        <v>2.4787133396404917</v>
      </c>
      <c r="L15" s="19">
        <f>E15/0.397</f>
        <v>13642.317380352644</v>
      </c>
    </row>
    <row r="16" spans="1:12" ht="13.5">
      <c r="A16" s="71"/>
      <c r="B16" s="71" t="s">
        <v>19</v>
      </c>
      <c r="C16" s="23"/>
      <c r="D16" s="174">
        <v>1411</v>
      </c>
      <c r="E16" s="18">
        <v>3427</v>
      </c>
      <c r="F16" s="170">
        <v>1711</v>
      </c>
      <c r="G16" s="170">
        <v>1716</v>
      </c>
      <c r="H16" s="72">
        <f t="shared" si="0"/>
        <v>2.4287739192062365</v>
      </c>
      <c r="I16" s="18">
        <v>3330</v>
      </c>
      <c r="J16" s="19">
        <f t="shared" si="2"/>
        <v>97</v>
      </c>
      <c r="K16" s="41">
        <f t="shared" si="1"/>
        <v>2.9129129129129128</v>
      </c>
      <c r="L16" s="19">
        <f>E16/0.259</f>
        <v>13231.660231660231</v>
      </c>
    </row>
    <row r="17" spans="1:12" ht="6" customHeight="1">
      <c r="A17" s="71"/>
      <c r="B17" s="71"/>
      <c r="C17" s="23"/>
      <c r="D17" s="173"/>
      <c r="E17" s="18"/>
      <c r="F17" s="18"/>
      <c r="G17" s="18"/>
      <c r="H17" s="72"/>
      <c r="I17" s="18"/>
      <c r="J17" s="19"/>
      <c r="K17" s="41"/>
      <c r="L17" s="19"/>
    </row>
    <row r="18" spans="1:12" s="175" customFormat="1" ht="13.5">
      <c r="A18" s="227" t="s">
        <v>20</v>
      </c>
      <c r="B18" s="227"/>
      <c r="C18" s="171"/>
      <c r="D18" s="172">
        <v>4732</v>
      </c>
      <c r="E18" s="7">
        <v>9567</v>
      </c>
      <c r="F18" s="7">
        <v>4737</v>
      </c>
      <c r="G18" s="7">
        <v>4830</v>
      </c>
      <c r="H18" s="178">
        <f aca="true" t="shared" si="3" ref="H18:H32">E18/D18</f>
        <v>2.0217666948436177</v>
      </c>
      <c r="I18" s="7">
        <v>9656</v>
      </c>
      <c r="J18" s="4">
        <f>SUM(J19:J24)</f>
        <v>-89</v>
      </c>
      <c r="K18" s="14">
        <f t="shared" si="1"/>
        <v>-0.9217067108533554</v>
      </c>
      <c r="L18" s="4">
        <f>E18/1.319</f>
        <v>7253.222137983321</v>
      </c>
    </row>
    <row r="19" spans="1:12" ht="13.5">
      <c r="A19" s="71"/>
      <c r="B19" s="71" t="s">
        <v>13</v>
      </c>
      <c r="C19" s="23"/>
      <c r="D19" s="174">
        <v>1032</v>
      </c>
      <c r="E19" s="19">
        <v>2098</v>
      </c>
      <c r="F19" s="170">
        <v>1056</v>
      </c>
      <c r="G19" s="170">
        <v>1042</v>
      </c>
      <c r="H19" s="41">
        <f t="shared" si="3"/>
        <v>2.0329457364341086</v>
      </c>
      <c r="I19" s="19">
        <v>2105</v>
      </c>
      <c r="J19" s="19">
        <f aca="true" t="shared" si="4" ref="J19:J24">E19-I19</f>
        <v>-7</v>
      </c>
      <c r="K19" s="41">
        <f t="shared" si="1"/>
        <v>-0.332541567695962</v>
      </c>
      <c r="L19" s="19">
        <f>E19/0.275</f>
        <v>7629.090909090908</v>
      </c>
    </row>
    <row r="20" spans="1:12" ht="13.5">
      <c r="A20" s="71"/>
      <c r="B20" s="71" t="s">
        <v>14</v>
      </c>
      <c r="C20" s="23"/>
      <c r="D20" s="174">
        <v>1213</v>
      </c>
      <c r="E20" s="19">
        <v>2270</v>
      </c>
      <c r="F20" s="170">
        <v>1114</v>
      </c>
      <c r="G20" s="170">
        <v>1156</v>
      </c>
      <c r="H20" s="41">
        <f t="shared" si="3"/>
        <v>1.8713932399010718</v>
      </c>
      <c r="I20" s="19">
        <v>2349</v>
      </c>
      <c r="J20" s="19">
        <f t="shared" si="4"/>
        <v>-79</v>
      </c>
      <c r="K20" s="41">
        <f t="shared" si="1"/>
        <v>-3.3631332481907195</v>
      </c>
      <c r="L20" s="19">
        <f>E20/0.226</f>
        <v>10044.247787610619</v>
      </c>
    </row>
    <row r="21" spans="1:12" ht="13.5">
      <c r="A21" s="71"/>
      <c r="B21" s="71" t="s">
        <v>15</v>
      </c>
      <c r="C21" s="23"/>
      <c r="D21" s="174">
        <v>806</v>
      </c>
      <c r="E21" s="19">
        <v>1484</v>
      </c>
      <c r="F21" s="170">
        <v>741</v>
      </c>
      <c r="G21" s="170">
        <v>743</v>
      </c>
      <c r="H21" s="41">
        <f t="shared" si="3"/>
        <v>1.8411910669975187</v>
      </c>
      <c r="I21" s="19">
        <v>1469</v>
      </c>
      <c r="J21" s="19">
        <f t="shared" si="4"/>
        <v>15</v>
      </c>
      <c r="K21" s="41">
        <f t="shared" si="1"/>
        <v>1.0211027910142956</v>
      </c>
      <c r="L21" s="19">
        <f>E21/0.197</f>
        <v>7532.994923857867</v>
      </c>
    </row>
    <row r="22" spans="1:12" ht="13.5">
      <c r="A22" s="71"/>
      <c r="B22" s="71" t="s">
        <v>16</v>
      </c>
      <c r="C22" s="23"/>
      <c r="D22" s="174">
        <v>970</v>
      </c>
      <c r="E22" s="19">
        <v>2047</v>
      </c>
      <c r="F22" s="170">
        <v>1002</v>
      </c>
      <c r="G22" s="170">
        <v>1045</v>
      </c>
      <c r="H22" s="41">
        <f t="shared" si="3"/>
        <v>2.1103092783505155</v>
      </c>
      <c r="I22" s="19">
        <v>2072</v>
      </c>
      <c r="J22" s="19">
        <f t="shared" si="4"/>
        <v>-25</v>
      </c>
      <c r="K22" s="41">
        <f t="shared" si="1"/>
        <v>-1.2065637065637065</v>
      </c>
      <c r="L22" s="19">
        <f>E22/0.244</f>
        <v>8389.344262295082</v>
      </c>
    </row>
    <row r="23" spans="1:12" ht="13.5">
      <c r="A23" s="71"/>
      <c r="B23" s="71" t="s">
        <v>17</v>
      </c>
      <c r="C23" s="23"/>
      <c r="D23" s="174">
        <v>442</v>
      </c>
      <c r="E23" s="19">
        <v>994</v>
      </c>
      <c r="F23" s="170">
        <v>492</v>
      </c>
      <c r="G23" s="170">
        <v>502</v>
      </c>
      <c r="H23" s="41">
        <f t="shared" si="3"/>
        <v>2.248868778280543</v>
      </c>
      <c r="I23" s="19">
        <v>999</v>
      </c>
      <c r="J23" s="19">
        <f t="shared" si="4"/>
        <v>-5</v>
      </c>
      <c r="K23" s="41">
        <f t="shared" si="1"/>
        <v>-0.5005005005005005</v>
      </c>
      <c r="L23" s="19">
        <f>E23/0.162</f>
        <v>6135.802469135802</v>
      </c>
    </row>
    <row r="24" spans="1:12" ht="13.5">
      <c r="A24" s="71"/>
      <c r="B24" s="71" t="s">
        <v>18</v>
      </c>
      <c r="C24" s="23"/>
      <c r="D24" s="174">
        <v>269</v>
      </c>
      <c r="E24" s="19">
        <v>674</v>
      </c>
      <c r="F24" s="170">
        <v>332</v>
      </c>
      <c r="G24" s="170">
        <v>342</v>
      </c>
      <c r="H24" s="41">
        <f t="shared" si="3"/>
        <v>2.5055762081784385</v>
      </c>
      <c r="I24" s="19">
        <v>662</v>
      </c>
      <c r="J24" s="19">
        <f t="shared" si="4"/>
        <v>12</v>
      </c>
      <c r="K24" s="41">
        <f t="shared" si="1"/>
        <v>1.812688821752266</v>
      </c>
      <c r="L24" s="19">
        <f>E24/0.215</f>
        <v>3134.883720930233</v>
      </c>
    </row>
    <row r="25" spans="1:12" ht="6" customHeight="1">
      <c r="A25" s="71"/>
      <c r="B25" s="71"/>
      <c r="C25" s="23"/>
      <c r="D25" s="173"/>
      <c r="E25" s="19"/>
      <c r="F25" s="18"/>
      <c r="G25" s="18"/>
      <c r="H25" s="41"/>
      <c r="I25" s="19"/>
      <c r="J25" s="19"/>
      <c r="K25" s="41"/>
      <c r="L25" s="19"/>
    </row>
    <row r="26" spans="1:12" s="175" customFormat="1" ht="13.5">
      <c r="A26" s="227" t="s">
        <v>21</v>
      </c>
      <c r="B26" s="227"/>
      <c r="C26" s="171"/>
      <c r="D26" s="172">
        <v>8390</v>
      </c>
      <c r="E26" s="4">
        <v>15871</v>
      </c>
      <c r="F26" s="7">
        <v>8063</v>
      </c>
      <c r="G26" s="7">
        <v>7808</v>
      </c>
      <c r="H26" s="14">
        <f t="shared" si="3"/>
        <v>1.8916567342073898</v>
      </c>
      <c r="I26" s="4">
        <v>15984</v>
      </c>
      <c r="J26" s="4">
        <f>SUM(J27:J32)</f>
        <v>-113</v>
      </c>
      <c r="K26" s="14">
        <f t="shared" si="1"/>
        <v>-0.7069569569569569</v>
      </c>
      <c r="L26" s="4">
        <f>E26/1.416</f>
        <v>11208.333333333334</v>
      </c>
    </row>
    <row r="27" spans="1:12" ht="13.5">
      <c r="A27" s="71"/>
      <c r="B27" s="71" t="s">
        <v>13</v>
      </c>
      <c r="C27" s="23"/>
      <c r="D27" s="174">
        <v>2548</v>
      </c>
      <c r="E27" s="19">
        <v>4324</v>
      </c>
      <c r="F27" s="170">
        <v>2340</v>
      </c>
      <c r="G27" s="170">
        <v>1984</v>
      </c>
      <c r="H27" s="41">
        <f t="shared" si="3"/>
        <v>1.6970172684458398</v>
      </c>
      <c r="I27" s="19">
        <v>4340</v>
      </c>
      <c r="J27" s="19">
        <f aca="true" t="shared" si="5" ref="J27:J32">E27-I27</f>
        <v>-16</v>
      </c>
      <c r="K27" s="41">
        <f t="shared" si="1"/>
        <v>-0.3686635944700461</v>
      </c>
      <c r="L27" s="19">
        <f>E27/0.271</f>
        <v>15955.71955719557</v>
      </c>
    </row>
    <row r="28" spans="1:12" ht="13.5">
      <c r="A28" s="71"/>
      <c r="B28" s="71" t="s">
        <v>14</v>
      </c>
      <c r="C28" s="23"/>
      <c r="D28" s="174">
        <v>1337</v>
      </c>
      <c r="E28" s="19">
        <v>2458</v>
      </c>
      <c r="F28" s="170">
        <v>1220</v>
      </c>
      <c r="G28" s="170">
        <v>1238</v>
      </c>
      <c r="H28" s="41">
        <f t="shared" si="3"/>
        <v>1.8384442782348542</v>
      </c>
      <c r="I28" s="19">
        <v>2456</v>
      </c>
      <c r="J28" s="19">
        <f t="shared" si="5"/>
        <v>2</v>
      </c>
      <c r="K28" s="41">
        <f t="shared" si="1"/>
        <v>0.08143322475570033</v>
      </c>
      <c r="L28" s="19">
        <f>E28/0.194</f>
        <v>12670.103092783505</v>
      </c>
    </row>
    <row r="29" spans="1:12" ht="13.5">
      <c r="A29" s="71"/>
      <c r="B29" s="71" t="s">
        <v>15</v>
      </c>
      <c r="C29" s="23"/>
      <c r="D29" s="174">
        <v>948</v>
      </c>
      <c r="E29" s="19">
        <v>1818</v>
      </c>
      <c r="F29" s="170">
        <v>873</v>
      </c>
      <c r="G29" s="170">
        <v>945</v>
      </c>
      <c r="H29" s="41">
        <f t="shared" si="3"/>
        <v>1.9177215189873418</v>
      </c>
      <c r="I29" s="19">
        <v>1819</v>
      </c>
      <c r="J29" s="19">
        <f t="shared" si="5"/>
        <v>-1</v>
      </c>
      <c r="K29" s="41">
        <f t="shared" si="1"/>
        <v>-0.054975261132490384</v>
      </c>
      <c r="L29" s="19">
        <f>E29/0.154</f>
        <v>11805.194805194806</v>
      </c>
    </row>
    <row r="30" spans="1:12" ht="13.5">
      <c r="A30" s="71"/>
      <c r="B30" s="71" t="s">
        <v>16</v>
      </c>
      <c r="C30" s="23"/>
      <c r="D30" s="174">
        <v>577</v>
      </c>
      <c r="E30" s="19">
        <v>1161</v>
      </c>
      <c r="F30" s="170">
        <v>573</v>
      </c>
      <c r="G30" s="170">
        <v>588</v>
      </c>
      <c r="H30" s="41">
        <f t="shared" si="3"/>
        <v>2.0121317157712304</v>
      </c>
      <c r="I30" s="19">
        <v>1147</v>
      </c>
      <c r="J30" s="19">
        <f t="shared" si="5"/>
        <v>14</v>
      </c>
      <c r="K30" s="41">
        <f t="shared" si="1"/>
        <v>1.2205754141238012</v>
      </c>
      <c r="L30" s="19">
        <f>E30/0.137</f>
        <v>8474.452554744525</v>
      </c>
    </row>
    <row r="31" spans="1:12" ht="13.5">
      <c r="A31" s="71"/>
      <c r="B31" s="71" t="s">
        <v>17</v>
      </c>
      <c r="C31" s="23"/>
      <c r="D31" s="174">
        <v>920</v>
      </c>
      <c r="E31" s="19">
        <v>2131</v>
      </c>
      <c r="F31" s="170">
        <v>1078</v>
      </c>
      <c r="G31" s="170">
        <v>1053</v>
      </c>
      <c r="H31" s="41">
        <f t="shared" si="3"/>
        <v>2.3163043478260867</v>
      </c>
      <c r="I31" s="19">
        <v>2140</v>
      </c>
      <c r="J31" s="19">
        <f t="shared" si="5"/>
        <v>-9</v>
      </c>
      <c r="K31" s="41">
        <f t="shared" si="1"/>
        <v>-0.4205607476635514</v>
      </c>
      <c r="L31" s="19">
        <f>E31/0.319</f>
        <v>6680.25078369906</v>
      </c>
    </row>
    <row r="32" spans="1:12" ht="13.5">
      <c r="A32" s="71"/>
      <c r="B32" s="71" t="s">
        <v>18</v>
      </c>
      <c r="C32" s="23"/>
      <c r="D32" s="174">
        <v>2060</v>
      </c>
      <c r="E32" s="19">
        <v>3979</v>
      </c>
      <c r="F32" s="170">
        <v>1979</v>
      </c>
      <c r="G32" s="170">
        <v>2000</v>
      </c>
      <c r="H32" s="41">
        <f t="shared" si="3"/>
        <v>1.9315533980582524</v>
      </c>
      <c r="I32" s="19">
        <v>4082</v>
      </c>
      <c r="J32" s="19">
        <f t="shared" si="5"/>
        <v>-103</v>
      </c>
      <c r="K32" s="41">
        <f t="shared" si="1"/>
        <v>-2.523272905438511</v>
      </c>
      <c r="L32" s="19">
        <f>E32/0.341</f>
        <v>11668.621700879765</v>
      </c>
    </row>
    <row r="33" spans="1:12" ht="6" customHeight="1">
      <c r="A33" s="71"/>
      <c r="B33" s="71"/>
      <c r="C33" s="23"/>
      <c r="D33" s="173"/>
      <c r="E33" s="19"/>
      <c r="F33" s="18"/>
      <c r="G33" s="18"/>
      <c r="H33" s="41"/>
      <c r="I33" s="19"/>
      <c r="J33" s="19"/>
      <c r="K33" s="41"/>
      <c r="L33" s="19"/>
    </row>
    <row r="34" spans="1:12" s="175" customFormat="1" ht="13.5">
      <c r="A34" s="227" t="s">
        <v>22</v>
      </c>
      <c r="B34" s="227"/>
      <c r="C34" s="171"/>
      <c r="D34" s="172">
        <v>5047</v>
      </c>
      <c r="E34" s="4">
        <v>9742</v>
      </c>
      <c r="F34" s="7">
        <v>4665</v>
      </c>
      <c r="G34" s="7">
        <v>5077</v>
      </c>
      <c r="H34" s="14">
        <f>E34/D34</f>
        <v>1.930255597384585</v>
      </c>
      <c r="I34" s="4">
        <v>9787</v>
      </c>
      <c r="J34" s="4">
        <f>SUM(J35:J37)</f>
        <v>-45</v>
      </c>
      <c r="K34" s="14">
        <f t="shared" si="1"/>
        <v>-0.45979360376008993</v>
      </c>
      <c r="L34" s="4">
        <f>E34/0.738</f>
        <v>13200.542005420055</v>
      </c>
    </row>
    <row r="35" spans="1:12" ht="13.5">
      <c r="A35" s="71"/>
      <c r="B35" s="71" t="s">
        <v>13</v>
      </c>
      <c r="C35" s="23"/>
      <c r="D35" s="173">
        <v>1864</v>
      </c>
      <c r="E35" s="19">
        <v>3448</v>
      </c>
      <c r="F35" s="170">
        <v>1594</v>
      </c>
      <c r="G35" s="170">
        <v>1854</v>
      </c>
      <c r="H35" s="41">
        <f>E35/D35</f>
        <v>1.849785407725322</v>
      </c>
      <c r="I35" s="19">
        <v>3469</v>
      </c>
      <c r="J35" s="19">
        <f>E35-I35</f>
        <v>-21</v>
      </c>
      <c r="K35" s="41">
        <f t="shared" si="1"/>
        <v>-0.6053617757278754</v>
      </c>
      <c r="L35" s="19">
        <f>E35/0.181</f>
        <v>19049.723756906078</v>
      </c>
    </row>
    <row r="36" spans="1:12" ht="13.5">
      <c r="A36" s="71"/>
      <c r="B36" s="71" t="s">
        <v>14</v>
      </c>
      <c r="C36" s="23"/>
      <c r="D36" s="173">
        <v>2230</v>
      </c>
      <c r="E36" s="19">
        <v>4430</v>
      </c>
      <c r="F36" s="170">
        <v>2168</v>
      </c>
      <c r="G36" s="170">
        <v>2262</v>
      </c>
      <c r="H36" s="41">
        <f>E36/D36</f>
        <v>1.9865470852017937</v>
      </c>
      <c r="I36" s="19">
        <v>4428</v>
      </c>
      <c r="J36" s="19">
        <f>E36-I36</f>
        <v>2</v>
      </c>
      <c r="K36" s="41">
        <f t="shared" si="1"/>
        <v>0.045167118337850046</v>
      </c>
      <c r="L36" s="19">
        <f>E36/0.317</f>
        <v>13974.763406940063</v>
      </c>
    </row>
    <row r="37" spans="1:12" ht="13.5">
      <c r="A37" s="71"/>
      <c r="B37" s="71" t="s">
        <v>15</v>
      </c>
      <c r="C37" s="23"/>
      <c r="D37" s="173">
        <v>953</v>
      </c>
      <c r="E37" s="19">
        <v>1864</v>
      </c>
      <c r="F37" s="170">
        <v>903</v>
      </c>
      <c r="G37" s="170">
        <v>961</v>
      </c>
      <c r="H37" s="41">
        <f>E37/D37</f>
        <v>1.955928646379853</v>
      </c>
      <c r="I37" s="19">
        <v>1890</v>
      </c>
      <c r="J37" s="19">
        <f>E37-I37</f>
        <v>-26</v>
      </c>
      <c r="K37" s="41">
        <f t="shared" si="1"/>
        <v>-1.3756613756613756</v>
      </c>
      <c r="L37" s="19">
        <f>E37/0.24</f>
        <v>7766.666666666667</v>
      </c>
    </row>
    <row r="38" spans="1:12" ht="6" customHeight="1">
      <c r="A38" s="71"/>
      <c r="B38" s="71"/>
      <c r="C38" s="23"/>
      <c r="D38" s="173"/>
      <c r="E38" s="19"/>
      <c r="F38" s="18"/>
      <c r="G38" s="18"/>
      <c r="H38" s="41"/>
      <c r="I38" s="19"/>
      <c r="J38" s="19"/>
      <c r="K38" s="41"/>
      <c r="L38" s="19"/>
    </row>
    <row r="39" spans="1:12" s="175" customFormat="1" ht="13.5">
      <c r="A39" s="227" t="s">
        <v>23</v>
      </c>
      <c r="B39" s="227"/>
      <c r="C39" s="171"/>
      <c r="D39" s="172">
        <v>5742</v>
      </c>
      <c r="E39" s="4">
        <v>10632</v>
      </c>
      <c r="F39" s="7">
        <v>5407</v>
      </c>
      <c r="G39" s="7">
        <v>5225</v>
      </c>
      <c r="H39" s="14">
        <f>E39/D39</f>
        <v>1.851619644723093</v>
      </c>
      <c r="I39" s="4">
        <v>10416</v>
      </c>
      <c r="J39" s="4">
        <f>SUM(J40:J42)</f>
        <v>216</v>
      </c>
      <c r="K39" s="14">
        <f t="shared" si="1"/>
        <v>2.0737327188940093</v>
      </c>
      <c r="L39" s="4">
        <f>E39/1.021</f>
        <v>10413.320274240941</v>
      </c>
    </row>
    <row r="40" spans="1:12" ht="13.5">
      <c r="A40" s="71"/>
      <c r="B40" s="71" t="s">
        <v>13</v>
      </c>
      <c r="C40" s="23"/>
      <c r="D40" s="173">
        <v>1933</v>
      </c>
      <c r="E40" s="19">
        <v>3353</v>
      </c>
      <c r="F40" s="170">
        <v>1763</v>
      </c>
      <c r="G40" s="170">
        <v>1590</v>
      </c>
      <c r="H40" s="41">
        <f>E40/D40</f>
        <v>1.734609415416451</v>
      </c>
      <c r="I40" s="19">
        <v>3241</v>
      </c>
      <c r="J40" s="19">
        <f>E40-I40</f>
        <v>112</v>
      </c>
      <c r="K40" s="41">
        <f t="shared" si="1"/>
        <v>3.455723542116631</v>
      </c>
      <c r="L40" s="19">
        <f>E40/0.219</f>
        <v>15310.502283105023</v>
      </c>
    </row>
    <row r="41" spans="1:12" ht="13.5">
      <c r="A41" s="71"/>
      <c r="B41" s="71" t="s">
        <v>14</v>
      </c>
      <c r="C41" s="23"/>
      <c r="D41" s="173">
        <v>1228</v>
      </c>
      <c r="E41" s="19">
        <v>2333</v>
      </c>
      <c r="F41" s="170">
        <v>1131</v>
      </c>
      <c r="G41" s="170">
        <v>1202</v>
      </c>
      <c r="H41" s="41">
        <f>E41/D41</f>
        <v>1.8998371335504887</v>
      </c>
      <c r="I41" s="19">
        <v>2329</v>
      </c>
      <c r="J41" s="19">
        <f>E41-I41</f>
        <v>4</v>
      </c>
      <c r="K41" s="41">
        <f t="shared" si="1"/>
        <v>0.17174753112924002</v>
      </c>
      <c r="L41" s="19">
        <f>E41/0.305</f>
        <v>7649.180327868853</v>
      </c>
    </row>
    <row r="42" spans="1:12" ht="13.5">
      <c r="A42" s="71"/>
      <c r="B42" s="71" t="s">
        <v>15</v>
      </c>
      <c r="C42" s="23"/>
      <c r="D42" s="173">
        <v>2581</v>
      </c>
      <c r="E42" s="19">
        <v>4946</v>
      </c>
      <c r="F42" s="170">
        <v>2513</v>
      </c>
      <c r="G42" s="170">
        <v>2433</v>
      </c>
      <c r="H42" s="41">
        <f>E42/D42</f>
        <v>1.9163115071677643</v>
      </c>
      <c r="I42" s="19">
        <v>4846</v>
      </c>
      <c r="J42" s="19">
        <f>E42-I42</f>
        <v>100</v>
      </c>
      <c r="K42" s="41">
        <f t="shared" si="1"/>
        <v>2.063557573256294</v>
      </c>
      <c r="L42" s="19">
        <f>E42/0.497</f>
        <v>9951.710261569417</v>
      </c>
    </row>
    <row r="43" spans="1:12" ht="6" customHeight="1">
      <c r="A43" s="71"/>
      <c r="B43" s="71"/>
      <c r="C43" s="23"/>
      <c r="D43" s="173"/>
      <c r="E43" s="19"/>
      <c r="F43" s="18"/>
      <c r="G43" s="18"/>
      <c r="H43" s="41"/>
      <c r="I43" s="19"/>
      <c r="J43" s="19"/>
      <c r="K43" s="41"/>
      <c r="L43" s="19"/>
    </row>
    <row r="44" spans="1:12" s="175" customFormat="1" ht="13.5">
      <c r="A44" s="227" t="s">
        <v>24</v>
      </c>
      <c r="B44" s="227"/>
      <c r="C44" s="171"/>
      <c r="D44" s="172">
        <v>5479</v>
      </c>
      <c r="E44" s="4">
        <v>9577</v>
      </c>
      <c r="F44" s="7">
        <v>5077</v>
      </c>
      <c r="G44" s="7">
        <v>4500</v>
      </c>
      <c r="H44" s="14">
        <f>E44/D44</f>
        <v>1.7479467056032123</v>
      </c>
      <c r="I44" s="4">
        <v>9598</v>
      </c>
      <c r="J44" s="4">
        <f>SUM(J45:J47)</f>
        <v>-21</v>
      </c>
      <c r="K44" s="14">
        <f t="shared" si="1"/>
        <v>-0.2187955824130027</v>
      </c>
      <c r="L44" s="4">
        <f>E44/0.842</f>
        <v>11374.109263657958</v>
      </c>
    </row>
    <row r="45" spans="1:12" ht="13.5">
      <c r="A45" s="71"/>
      <c r="B45" s="71" t="s">
        <v>13</v>
      </c>
      <c r="C45" s="23"/>
      <c r="D45" s="173">
        <v>1430</v>
      </c>
      <c r="E45" s="19">
        <v>2528</v>
      </c>
      <c r="F45" s="170">
        <v>1367</v>
      </c>
      <c r="G45" s="170">
        <v>1161</v>
      </c>
      <c r="H45" s="41">
        <f>E45/D45</f>
        <v>1.7678321678321678</v>
      </c>
      <c r="I45" s="19">
        <v>2545</v>
      </c>
      <c r="J45" s="19">
        <f>E45-I45</f>
        <v>-17</v>
      </c>
      <c r="K45" s="41">
        <f t="shared" si="1"/>
        <v>-0.6679764243614932</v>
      </c>
      <c r="L45" s="19">
        <f>E45/0.44</f>
        <v>5745.454545454545</v>
      </c>
    </row>
    <row r="46" spans="1:12" ht="13.5">
      <c r="A46" s="71"/>
      <c r="B46" s="71" t="s">
        <v>14</v>
      </c>
      <c r="C46" s="23"/>
      <c r="D46" s="173">
        <v>2317</v>
      </c>
      <c r="E46" s="19">
        <v>4028</v>
      </c>
      <c r="F46" s="170">
        <v>2099</v>
      </c>
      <c r="G46" s="170">
        <v>1929</v>
      </c>
      <c r="H46" s="41">
        <f>E46/D46</f>
        <v>1.7384548985757444</v>
      </c>
      <c r="I46" s="19">
        <v>4085</v>
      </c>
      <c r="J46" s="19">
        <f>E46-I46</f>
        <v>-57</v>
      </c>
      <c r="K46" s="41">
        <f t="shared" si="1"/>
        <v>-1.3953488372093024</v>
      </c>
      <c r="L46" s="19">
        <f>E46/0.23</f>
        <v>17513.043478260868</v>
      </c>
    </row>
    <row r="47" spans="1:12" ht="13.5">
      <c r="A47" s="71"/>
      <c r="B47" s="71" t="s">
        <v>15</v>
      </c>
      <c r="C47" s="23"/>
      <c r="D47" s="173">
        <v>1732</v>
      </c>
      <c r="E47" s="19">
        <v>3021</v>
      </c>
      <c r="F47" s="170">
        <v>1611</v>
      </c>
      <c r="G47" s="170">
        <v>1410</v>
      </c>
      <c r="H47" s="41">
        <f>E47/D47</f>
        <v>1.7442263279445727</v>
      </c>
      <c r="I47" s="19">
        <v>2968</v>
      </c>
      <c r="J47" s="19">
        <f>E47-I47</f>
        <v>53</v>
      </c>
      <c r="K47" s="41">
        <f t="shared" si="1"/>
        <v>1.7857142857142856</v>
      </c>
      <c r="L47" s="19">
        <f>E47/0.172</f>
        <v>17563.953488372095</v>
      </c>
    </row>
    <row r="48" spans="1:12" ht="6" customHeight="1">
      <c r="A48" s="71"/>
      <c r="B48" s="71"/>
      <c r="C48" s="23"/>
      <c r="D48" s="173"/>
      <c r="E48" s="19"/>
      <c r="F48" s="18"/>
      <c r="G48" s="18"/>
      <c r="H48" s="41"/>
      <c r="I48" s="19"/>
      <c r="J48" s="19"/>
      <c r="K48" s="41"/>
      <c r="L48" s="19"/>
    </row>
    <row r="49" spans="1:12" s="175" customFormat="1" ht="13.5">
      <c r="A49" s="227" t="s">
        <v>25</v>
      </c>
      <c r="B49" s="227"/>
      <c r="C49" s="171"/>
      <c r="D49" s="172">
        <v>1476</v>
      </c>
      <c r="E49" s="4">
        <v>2975</v>
      </c>
      <c r="F49" s="176">
        <v>1653</v>
      </c>
      <c r="G49" s="176">
        <v>1322</v>
      </c>
      <c r="H49" s="14">
        <f>E49/D49</f>
        <v>2.015582655826558</v>
      </c>
      <c r="I49" s="4">
        <v>2968</v>
      </c>
      <c r="J49" s="4">
        <f>E49-I49</f>
        <v>7</v>
      </c>
      <c r="K49" s="14">
        <f t="shared" si="1"/>
        <v>0.2358490566037736</v>
      </c>
      <c r="L49" s="4">
        <f>E49/1.808</f>
        <v>1645.4646017699115</v>
      </c>
    </row>
    <row r="50" spans="1:12" ht="6" customHeight="1">
      <c r="A50" s="71"/>
      <c r="B50" s="71"/>
      <c r="C50" s="23"/>
      <c r="D50" s="173"/>
      <c r="E50" s="19"/>
      <c r="F50" s="18"/>
      <c r="G50" s="18"/>
      <c r="H50" s="41"/>
      <c r="I50" s="19"/>
      <c r="J50" s="19"/>
      <c r="K50" s="41"/>
      <c r="L50" s="19"/>
    </row>
    <row r="51" spans="1:12" s="175" customFormat="1" ht="13.5">
      <c r="A51" s="227" t="s">
        <v>26</v>
      </c>
      <c r="B51" s="227"/>
      <c r="C51" s="171"/>
      <c r="D51" s="172">
        <v>5766</v>
      </c>
      <c r="E51" s="4">
        <v>12752</v>
      </c>
      <c r="F51" s="7">
        <v>6412</v>
      </c>
      <c r="G51" s="7">
        <v>6340</v>
      </c>
      <c r="H51" s="14">
        <f aca="true" t="shared" si="6" ref="H51:H57">E51/D51</f>
        <v>2.2115851543531044</v>
      </c>
      <c r="I51" s="4">
        <v>12866</v>
      </c>
      <c r="J51" s="4">
        <f>SUM(J52:J57)</f>
        <v>-114</v>
      </c>
      <c r="K51" s="14">
        <f t="shared" si="1"/>
        <v>-0.8860562723457174</v>
      </c>
      <c r="L51" s="4">
        <f>E51/1.422</f>
        <v>8967.651195499297</v>
      </c>
    </row>
    <row r="52" spans="1:12" ht="13.5">
      <c r="A52" s="71"/>
      <c r="B52" s="71" t="s">
        <v>13</v>
      </c>
      <c r="C52" s="23"/>
      <c r="D52" s="174">
        <v>989</v>
      </c>
      <c r="E52" s="19">
        <v>2130</v>
      </c>
      <c r="F52" s="170">
        <v>1169</v>
      </c>
      <c r="G52" s="170">
        <v>961</v>
      </c>
      <c r="H52" s="41">
        <f t="shared" si="6"/>
        <v>2.153690596562184</v>
      </c>
      <c r="I52" s="19">
        <v>2142</v>
      </c>
      <c r="J52" s="19">
        <f aca="true" t="shared" si="7" ref="J52:J57">E52-I52</f>
        <v>-12</v>
      </c>
      <c r="K52" s="41">
        <f t="shared" si="1"/>
        <v>-0.5602240896358543</v>
      </c>
      <c r="L52" s="19">
        <f>E52/0.35</f>
        <v>6085.714285714286</v>
      </c>
    </row>
    <row r="53" spans="1:12" ht="13.5">
      <c r="A53" s="71"/>
      <c r="B53" s="71" t="s">
        <v>14</v>
      </c>
      <c r="C53" s="23"/>
      <c r="D53" s="174">
        <v>812</v>
      </c>
      <c r="E53" s="19">
        <v>2029</v>
      </c>
      <c r="F53" s="170">
        <v>998</v>
      </c>
      <c r="G53" s="170">
        <v>1031</v>
      </c>
      <c r="H53" s="41">
        <f t="shared" si="6"/>
        <v>2.498768472906404</v>
      </c>
      <c r="I53" s="19">
        <v>2031</v>
      </c>
      <c r="J53" s="19">
        <f t="shared" si="7"/>
        <v>-2</v>
      </c>
      <c r="K53" s="41">
        <f t="shared" si="1"/>
        <v>-0.09847365829640572</v>
      </c>
      <c r="L53" s="19">
        <f>E53/0.302</f>
        <v>6718.543046357616</v>
      </c>
    </row>
    <row r="54" spans="1:12" ht="13.5">
      <c r="A54" s="71"/>
      <c r="B54" s="71" t="s">
        <v>15</v>
      </c>
      <c r="C54" s="23"/>
      <c r="D54" s="174">
        <v>560</v>
      </c>
      <c r="E54" s="19">
        <v>1324</v>
      </c>
      <c r="F54" s="170">
        <v>636</v>
      </c>
      <c r="G54" s="170">
        <v>688</v>
      </c>
      <c r="H54" s="41">
        <f t="shared" si="6"/>
        <v>2.3642857142857143</v>
      </c>
      <c r="I54" s="19">
        <v>1321</v>
      </c>
      <c r="J54" s="19">
        <f t="shared" si="7"/>
        <v>3</v>
      </c>
      <c r="K54" s="41">
        <f t="shared" si="1"/>
        <v>0.22710068130204392</v>
      </c>
      <c r="L54" s="19">
        <f>E54/0.203</f>
        <v>6522.167487684728</v>
      </c>
    </row>
    <row r="55" spans="1:12" ht="13.5">
      <c r="A55" s="71"/>
      <c r="B55" s="71" t="s">
        <v>16</v>
      </c>
      <c r="C55" s="23"/>
      <c r="D55" s="174">
        <v>1200</v>
      </c>
      <c r="E55" s="19">
        <v>2388</v>
      </c>
      <c r="F55" s="170">
        <v>1231</v>
      </c>
      <c r="G55" s="170">
        <v>1157</v>
      </c>
      <c r="H55" s="41">
        <f t="shared" si="6"/>
        <v>1.99</v>
      </c>
      <c r="I55" s="19">
        <v>2436</v>
      </c>
      <c r="J55" s="19">
        <f t="shared" si="7"/>
        <v>-48</v>
      </c>
      <c r="K55" s="41">
        <f t="shared" si="1"/>
        <v>-1.9704433497536946</v>
      </c>
      <c r="L55" s="19">
        <f>E55/0.184</f>
        <v>12978.260869565218</v>
      </c>
    </row>
    <row r="56" spans="1:12" ht="13.5">
      <c r="A56" s="71"/>
      <c r="B56" s="71" t="s">
        <v>17</v>
      </c>
      <c r="C56" s="23"/>
      <c r="D56" s="174">
        <v>1530</v>
      </c>
      <c r="E56" s="19">
        <v>3367</v>
      </c>
      <c r="F56" s="170">
        <v>1627</v>
      </c>
      <c r="G56" s="170">
        <v>1740</v>
      </c>
      <c r="H56" s="41">
        <f t="shared" si="6"/>
        <v>2.200653594771242</v>
      </c>
      <c r="I56" s="19">
        <v>3433</v>
      </c>
      <c r="J56" s="19">
        <f t="shared" si="7"/>
        <v>-66</v>
      </c>
      <c r="K56" s="41">
        <f t="shared" si="1"/>
        <v>-1.9225167491989512</v>
      </c>
      <c r="L56" s="19">
        <f>E56/0.231</f>
        <v>14575.757575757576</v>
      </c>
    </row>
    <row r="57" spans="1:12" ht="13.5">
      <c r="A57" s="71"/>
      <c r="B57" s="71" t="s">
        <v>18</v>
      </c>
      <c r="C57" s="23"/>
      <c r="D57" s="174">
        <v>675</v>
      </c>
      <c r="E57" s="19">
        <v>1514</v>
      </c>
      <c r="F57" s="170">
        <v>751</v>
      </c>
      <c r="G57" s="170">
        <v>763</v>
      </c>
      <c r="H57" s="41">
        <f t="shared" si="6"/>
        <v>2.242962962962963</v>
      </c>
      <c r="I57" s="19">
        <v>1503</v>
      </c>
      <c r="J57" s="19">
        <f t="shared" si="7"/>
        <v>11</v>
      </c>
      <c r="K57" s="41">
        <f t="shared" si="1"/>
        <v>0.7318695941450433</v>
      </c>
      <c r="L57" s="19">
        <f>E57/0.152</f>
        <v>9960.526315789473</v>
      </c>
    </row>
    <row r="58" spans="1:12" ht="6" customHeight="1">
      <c r="A58" s="71"/>
      <c r="B58" s="71"/>
      <c r="C58" s="23"/>
      <c r="D58" s="173"/>
      <c r="E58" s="19"/>
      <c r="F58" s="18"/>
      <c r="G58" s="18"/>
      <c r="H58" s="41"/>
      <c r="I58" s="19"/>
      <c r="J58" s="19"/>
      <c r="K58" s="41"/>
      <c r="L58" s="19"/>
    </row>
    <row r="59" spans="1:12" s="175" customFormat="1" ht="13.5">
      <c r="A59" s="227" t="s">
        <v>27</v>
      </c>
      <c r="B59" s="227"/>
      <c r="C59" s="171"/>
      <c r="D59" s="172">
        <v>5528</v>
      </c>
      <c r="E59" s="4">
        <v>12492</v>
      </c>
      <c r="F59" s="7">
        <v>6047</v>
      </c>
      <c r="G59" s="7">
        <v>6445</v>
      </c>
      <c r="H59" s="14">
        <f>E59/D59</f>
        <v>2.259768451519537</v>
      </c>
      <c r="I59" s="4">
        <v>12412</v>
      </c>
      <c r="J59" s="4">
        <f>SUM(J60:J63)</f>
        <v>80</v>
      </c>
      <c r="K59" s="14">
        <f t="shared" si="1"/>
        <v>0.6445375443119562</v>
      </c>
      <c r="L59" s="4">
        <f>E59/1.147</f>
        <v>10891.020052310374</v>
      </c>
    </row>
    <row r="60" spans="1:12" ht="13.5">
      <c r="A60" s="71"/>
      <c r="B60" s="71" t="s">
        <v>13</v>
      </c>
      <c r="C60" s="23"/>
      <c r="D60" s="174">
        <v>2246</v>
      </c>
      <c r="E60" s="19">
        <v>5107</v>
      </c>
      <c r="F60" s="170">
        <v>2474</v>
      </c>
      <c r="G60" s="170">
        <v>2633</v>
      </c>
      <c r="H60" s="41">
        <f>E60/D60</f>
        <v>2.273820124666073</v>
      </c>
      <c r="I60" s="19">
        <v>5190</v>
      </c>
      <c r="J60" s="19">
        <f>E60-I60</f>
        <v>-83</v>
      </c>
      <c r="K60" s="41">
        <f t="shared" si="1"/>
        <v>-1.599229287090559</v>
      </c>
      <c r="L60" s="19">
        <f>E60/0.331</f>
        <v>15429.003021148035</v>
      </c>
    </row>
    <row r="61" spans="1:12" ht="13.5">
      <c r="A61" s="71"/>
      <c r="B61" s="71" t="s">
        <v>14</v>
      </c>
      <c r="C61" s="23"/>
      <c r="D61" s="174">
        <v>808</v>
      </c>
      <c r="E61" s="19">
        <v>2112</v>
      </c>
      <c r="F61" s="170">
        <v>1020</v>
      </c>
      <c r="G61" s="170">
        <v>1092</v>
      </c>
      <c r="H61" s="41">
        <f>E61/D61</f>
        <v>2.613861386138614</v>
      </c>
      <c r="I61" s="19">
        <v>2132</v>
      </c>
      <c r="J61" s="19">
        <f>E61-I61</f>
        <v>-20</v>
      </c>
      <c r="K61" s="41">
        <f t="shared" si="1"/>
        <v>-0.9380863039399625</v>
      </c>
      <c r="L61" s="19">
        <f>E61/0.223</f>
        <v>9470.852017937219</v>
      </c>
    </row>
    <row r="62" spans="1:12" ht="13.5">
      <c r="A62" s="71"/>
      <c r="B62" s="71" t="s">
        <v>15</v>
      </c>
      <c r="C62" s="23"/>
      <c r="D62" s="174">
        <v>808</v>
      </c>
      <c r="E62" s="19">
        <v>2081</v>
      </c>
      <c r="F62" s="170">
        <v>1035</v>
      </c>
      <c r="G62" s="170">
        <v>1046</v>
      </c>
      <c r="H62" s="41">
        <f>E62/D62</f>
        <v>2.5754950495049505</v>
      </c>
      <c r="I62" s="19">
        <v>1864</v>
      </c>
      <c r="J62" s="19">
        <f>E62-I62</f>
        <v>217</v>
      </c>
      <c r="K62" s="41">
        <f t="shared" si="1"/>
        <v>11.641630901287552</v>
      </c>
      <c r="L62" s="19">
        <f>E62/0.367</f>
        <v>5670.299727520436</v>
      </c>
    </row>
    <row r="63" spans="1:12" ht="13.5">
      <c r="A63" s="71"/>
      <c r="B63" s="71" t="s">
        <v>16</v>
      </c>
      <c r="C63" s="23"/>
      <c r="D63" s="174">
        <v>1666</v>
      </c>
      <c r="E63" s="19">
        <v>3192</v>
      </c>
      <c r="F63" s="170">
        <v>1518</v>
      </c>
      <c r="G63" s="170">
        <v>1674</v>
      </c>
      <c r="H63" s="41">
        <f>E63/D63</f>
        <v>1.915966386554622</v>
      </c>
      <c r="I63" s="19">
        <v>3226</v>
      </c>
      <c r="J63" s="19">
        <f>E63-I63</f>
        <v>-34</v>
      </c>
      <c r="K63" s="41">
        <f t="shared" si="1"/>
        <v>-1.0539367637941723</v>
      </c>
      <c r="L63" s="19">
        <f>E63/0.226</f>
        <v>14123.893805309734</v>
      </c>
    </row>
    <row r="64" spans="1:12" ht="6" customHeight="1">
      <c r="A64" s="228"/>
      <c r="B64" s="228"/>
      <c r="C64" s="86"/>
      <c r="D64" s="68"/>
      <c r="E64" s="32"/>
      <c r="F64" s="32"/>
      <c r="G64" s="32"/>
      <c r="H64" s="69"/>
      <c r="I64" s="70"/>
      <c r="J64" s="32"/>
      <c r="K64" s="32"/>
      <c r="L64" s="20"/>
    </row>
    <row r="65" spans="1:12" s="175" customFormat="1" ht="13.5">
      <c r="A65" s="227" t="s">
        <v>28</v>
      </c>
      <c r="B65" s="227"/>
      <c r="C65" s="171"/>
      <c r="D65" s="172">
        <v>5898</v>
      </c>
      <c r="E65" s="7">
        <v>13066</v>
      </c>
      <c r="F65" s="7">
        <v>6498</v>
      </c>
      <c r="G65" s="7">
        <v>6568</v>
      </c>
      <c r="H65" s="14">
        <f aca="true" t="shared" si="8" ref="H65:H71">E65/D65</f>
        <v>2.2153272295693456</v>
      </c>
      <c r="I65" s="12">
        <v>13123</v>
      </c>
      <c r="J65" s="4">
        <f>SUM(J66:J71)</f>
        <v>-57</v>
      </c>
      <c r="K65" s="14">
        <f aca="true" t="shared" si="9" ref="K65:K71">J65/I65*100</f>
        <v>-0.43435190124209405</v>
      </c>
      <c r="L65" s="4">
        <f>E65/1.715</f>
        <v>7618.658892128279</v>
      </c>
    </row>
    <row r="66" spans="1:12" ht="13.5" customHeight="1">
      <c r="A66" s="71"/>
      <c r="B66" s="71" t="s">
        <v>13</v>
      </c>
      <c r="C66" s="23"/>
      <c r="D66" s="174">
        <v>451</v>
      </c>
      <c r="E66" s="19">
        <v>1051</v>
      </c>
      <c r="F66" s="170">
        <v>536</v>
      </c>
      <c r="G66" s="170">
        <v>515</v>
      </c>
      <c r="H66" s="41">
        <f t="shared" si="8"/>
        <v>2.330376940133038</v>
      </c>
      <c r="I66" s="74">
        <v>1036</v>
      </c>
      <c r="J66" s="19">
        <f aca="true" t="shared" si="10" ref="J66:J71">E66-I66</f>
        <v>15</v>
      </c>
      <c r="K66" s="41">
        <f t="shared" si="9"/>
        <v>1.4478764478764479</v>
      </c>
      <c r="L66" s="19">
        <f>E66/0.201</f>
        <v>5228.855721393034</v>
      </c>
    </row>
    <row r="67" spans="1:12" ht="13.5">
      <c r="A67" s="71"/>
      <c r="B67" s="71" t="s">
        <v>14</v>
      </c>
      <c r="C67" s="23"/>
      <c r="D67" s="174">
        <v>1321</v>
      </c>
      <c r="E67" s="19">
        <v>3026</v>
      </c>
      <c r="F67" s="170">
        <v>1472</v>
      </c>
      <c r="G67" s="170">
        <v>1554</v>
      </c>
      <c r="H67" s="41">
        <f t="shared" si="8"/>
        <v>2.290688872066616</v>
      </c>
      <c r="I67" s="74">
        <v>2988</v>
      </c>
      <c r="J67" s="19">
        <f t="shared" si="10"/>
        <v>38</v>
      </c>
      <c r="K67" s="41">
        <f t="shared" si="9"/>
        <v>1.2717536813922357</v>
      </c>
      <c r="L67" s="19">
        <f>E67/0.261</f>
        <v>11593.869731800765</v>
      </c>
    </row>
    <row r="68" spans="1:12" ht="13.5">
      <c r="A68" s="71"/>
      <c r="B68" s="71" t="s">
        <v>15</v>
      </c>
      <c r="C68" s="23"/>
      <c r="D68" s="174">
        <v>565</v>
      </c>
      <c r="E68" s="19">
        <v>1238</v>
      </c>
      <c r="F68" s="170">
        <v>635</v>
      </c>
      <c r="G68" s="170">
        <v>603</v>
      </c>
      <c r="H68" s="41">
        <f t="shared" si="8"/>
        <v>2.191150442477876</v>
      </c>
      <c r="I68" s="74">
        <v>1254</v>
      </c>
      <c r="J68" s="19">
        <f t="shared" si="10"/>
        <v>-16</v>
      </c>
      <c r="K68" s="41">
        <f t="shared" si="9"/>
        <v>-1.2759170653907497</v>
      </c>
      <c r="L68" s="19">
        <f>E68/0.152</f>
        <v>8144.736842105263</v>
      </c>
    </row>
    <row r="69" spans="1:12" ht="13.5">
      <c r="A69" s="71"/>
      <c r="B69" s="71" t="s">
        <v>16</v>
      </c>
      <c r="C69" s="23"/>
      <c r="D69" s="174">
        <v>1664</v>
      </c>
      <c r="E69" s="19">
        <v>3406</v>
      </c>
      <c r="F69" s="170">
        <v>1706</v>
      </c>
      <c r="G69" s="170">
        <v>1700</v>
      </c>
      <c r="H69" s="41">
        <f t="shared" si="8"/>
        <v>2.046875</v>
      </c>
      <c r="I69" s="74">
        <v>3473</v>
      </c>
      <c r="J69" s="19">
        <f t="shared" si="10"/>
        <v>-67</v>
      </c>
      <c r="K69" s="41">
        <f t="shared" si="9"/>
        <v>-1.9291678663979268</v>
      </c>
      <c r="L69" s="19">
        <f>E69/0.383</f>
        <v>8892.950391644908</v>
      </c>
    </row>
    <row r="70" spans="1:12" ht="13.5">
      <c r="A70" s="71"/>
      <c r="B70" s="71" t="s">
        <v>17</v>
      </c>
      <c r="C70" s="23"/>
      <c r="D70" s="174">
        <v>1309</v>
      </c>
      <c r="E70" s="19">
        <v>3014</v>
      </c>
      <c r="F70" s="170">
        <v>1482</v>
      </c>
      <c r="G70" s="170">
        <v>1532</v>
      </c>
      <c r="H70" s="41">
        <f t="shared" si="8"/>
        <v>2.302521008403361</v>
      </c>
      <c r="I70" s="74">
        <v>3067</v>
      </c>
      <c r="J70" s="19">
        <f t="shared" si="10"/>
        <v>-53</v>
      </c>
      <c r="K70" s="41">
        <f t="shared" si="9"/>
        <v>-1.728073035539615</v>
      </c>
      <c r="L70" s="19">
        <f>E70/0.487</f>
        <v>6188.911704312115</v>
      </c>
    </row>
    <row r="71" spans="1:12" ht="13.5">
      <c r="A71" s="71"/>
      <c r="B71" s="71" t="s">
        <v>18</v>
      </c>
      <c r="C71" s="23"/>
      <c r="D71" s="174">
        <v>588</v>
      </c>
      <c r="E71" s="19">
        <v>1331</v>
      </c>
      <c r="F71" s="170">
        <v>667</v>
      </c>
      <c r="G71" s="170">
        <v>664</v>
      </c>
      <c r="H71" s="41">
        <f t="shared" si="8"/>
        <v>2.2636054421768708</v>
      </c>
      <c r="I71" s="74">
        <v>1305</v>
      </c>
      <c r="J71" s="19">
        <f t="shared" si="10"/>
        <v>26</v>
      </c>
      <c r="K71" s="41">
        <f t="shared" si="9"/>
        <v>1.992337164750958</v>
      </c>
      <c r="L71" s="19">
        <f>E71/0.231</f>
        <v>5761.9047619047615</v>
      </c>
    </row>
    <row r="72" spans="1:12" ht="6" customHeight="1">
      <c r="A72" s="71"/>
      <c r="B72" s="71"/>
      <c r="C72" s="23"/>
      <c r="D72" s="173"/>
      <c r="E72" s="19"/>
      <c r="F72" s="18"/>
      <c r="G72" s="18"/>
      <c r="H72" s="41"/>
      <c r="I72" s="74"/>
      <c r="J72" s="19"/>
      <c r="K72" s="41"/>
      <c r="L72" s="19"/>
    </row>
    <row r="73" spans="1:12" s="175" customFormat="1" ht="13.5">
      <c r="A73" s="227" t="s">
        <v>29</v>
      </c>
      <c r="B73" s="227"/>
      <c r="C73" s="171"/>
      <c r="D73" s="172">
        <v>4186</v>
      </c>
      <c r="E73" s="4">
        <v>8975</v>
      </c>
      <c r="F73" s="7">
        <v>4313</v>
      </c>
      <c r="G73" s="7">
        <v>4662</v>
      </c>
      <c r="H73" s="14">
        <f aca="true" t="shared" si="11" ref="H73:H78">E73/D73</f>
        <v>2.1440516005733397</v>
      </c>
      <c r="I73" s="12">
        <v>8906</v>
      </c>
      <c r="J73" s="4">
        <f>SUM(J74:J78)</f>
        <v>69</v>
      </c>
      <c r="K73" s="14">
        <f aca="true" t="shared" si="12" ref="K73:K78">J73/I73*100</f>
        <v>0.774758589714799</v>
      </c>
      <c r="L73" s="4">
        <f>E73/1.154</f>
        <v>7777.296360485269</v>
      </c>
    </row>
    <row r="74" spans="1:12" ht="13.5">
      <c r="A74" s="71"/>
      <c r="B74" s="71" t="s">
        <v>13</v>
      </c>
      <c r="C74" s="23"/>
      <c r="D74" s="174">
        <v>941</v>
      </c>
      <c r="E74" s="19">
        <v>2071</v>
      </c>
      <c r="F74" s="170">
        <v>972</v>
      </c>
      <c r="G74" s="170">
        <v>1099</v>
      </c>
      <c r="H74" s="41">
        <f t="shared" si="11"/>
        <v>2.2008501594048884</v>
      </c>
      <c r="I74" s="74">
        <v>2108</v>
      </c>
      <c r="J74" s="19">
        <f>E74-I74</f>
        <v>-37</v>
      </c>
      <c r="K74" s="41">
        <f t="shared" si="12"/>
        <v>-1.7552182163187855</v>
      </c>
      <c r="L74" s="19">
        <f>E74/0.209</f>
        <v>9909.09090909091</v>
      </c>
    </row>
    <row r="75" spans="1:12" ht="13.5" customHeight="1">
      <c r="A75" s="71"/>
      <c r="B75" s="71" t="s">
        <v>14</v>
      </c>
      <c r="C75" s="23"/>
      <c r="D75" s="174">
        <v>373</v>
      </c>
      <c r="E75" s="19">
        <v>907</v>
      </c>
      <c r="F75" s="170">
        <v>452</v>
      </c>
      <c r="G75" s="170">
        <v>455</v>
      </c>
      <c r="H75" s="41">
        <f t="shared" si="11"/>
        <v>2.4316353887399464</v>
      </c>
      <c r="I75" s="74">
        <v>904</v>
      </c>
      <c r="J75" s="19">
        <f>E75-I75</f>
        <v>3</v>
      </c>
      <c r="K75" s="41">
        <f t="shared" si="12"/>
        <v>0.33185840707964603</v>
      </c>
      <c r="L75" s="19">
        <f>E75/0.184</f>
        <v>4929.347826086957</v>
      </c>
    </row>
    <row r="76" spans="1:12" ht="13.5">
      <c r="A76" s="71"/>
      <c r="B76" s="71" t="s">
        <v>15</v>
      </c>
      <c r="C76" s="23"/>
      <c r="D76" s="174">
        <v>693</v>
      </c>
      <c r="E76" s="19">
        <v>1446</v>
      </c>
      <c r="F76" s="170">
        <v>771</v>
      </c>
      <c r="G76" s="170">
        <v>675</v>
      </c>
      <c r="H76" s="41">
        <f t="shared" si="11"/>
        <v>2.0865800865800868</v>
      </c>
      <c r="I76" s="74">
        <v>1454</v>
      </c>
      <c r="J76" s="19">
        <f>E76-I76</f>
        <v>-8</v>
      </c>
      <c r="K76" s="41">
        <f t="shared" si="12"/>
        <v>-0.5502063273727648</v>
      </c>
      <c r="L76" s="19">
        <f>E76/0.185</f>
        <v>7816.216216216217</v>
      </c>
    </row>
    <row r="77" spans="1:12" ht="13.5">
      <c r="A77" s="71"/>
      <c r="B77" s="71" t="s">
        <v>16</v>
      </c>
      <c r="C77" s="23"/>
      <c r="D77" s="174">
        <v>1873</v>
      </c>
      <c r="E77" s="19">
        <v>3950</v>
      </c>
      <c r="F77" s="170">
        <v>1892</v>
      </c>
      <c r="G77" s="170">
        <v>2058</v>
      </c>
      <c r="H77" s="41">
        <f t="shared" si="11"/>
        <v>2.1089161772557397</v>
      </c>
      <c r="I77" s="74">
        <v>3859</v>
      </c>
      <c r="J77" s="19">
        <f>E77-I77</f>
        <v>91</v>
      </c>
      <c r="K77" s="41">
        <f t="shared" si="12"/>
        <v>2.358123866286603</v>
      </c>
      <c r="L77" s="19">
        <f>E77/0.434</f>
        <v>9101.382488479263</v>
      </c>
    </row>
    <row r="78" spans="1:12" ht="13.5">
      <c r="A78" s="71"/>
      <c r="B78" s="71" t="s">
        <v>17</v>
      </c>
      <c r="C78" s="23"/>
      <c r="D78" s="174">
        <v>306</v>
      </c>
      <c r="E78" s="19">
        <v>601</v>
      </c>
      <c r="F78" s="170">
        <v>226</v>
      </c>
      <c r="G78" s="170">
        <v>375</v>
      </c>
      <c r="H78" s="41">
        <f t="shared" si="11"/>
        <v>1.9640522875816993</v>
      </c>
      <c r="I78" s="74">
        <v>581</v>
      </c>
      <c r="J78" s="19">
        <f>E78-I78</f>
        <v>20</v>
      </c>
      <c r="K78" s="41">
        <f t="shared" si="12"/>
        <v>3.4423407917383817</v>
      </c>
      <c r="L78" s="19">
        <f>E78/0.142</f>
        <v>4232.394366197183</v>
      </c>
    </row>
    <row r="79" spans="1:12" ht="6" customHeight="1">
      <c r="A79" s="71"/>
      <c r="B79" s="71"/>
      <c r="C79" s="23"/>
      <c r="D79" s="173"/>
      <c r="E79" s="19"/>
      <c r="F79" s="18"/>
      <c r="G79" s="18"/>
      <c r="H79" s="41"/>
      <c r="I79" s="74"/>
      <c r="J79" s="19"/>
      <c r="K79" s="41"/>
      <c r="L79" s="19"/>
    </row>
    <row r="80" spans="1:12" s="175" customFormat="1" ht="13.5" customHeight="1">
      <c r="A80" s="227" t="s">
        <v>115</v>
      </c>
      <c r="B80" s="227"/>
      <c r="C80" s="171"/>
      <c r="D80" s="172">
        <v>554</v>
      </c>
      <c r="E80" s="4">
        <v>1421</v>
      </c>
      <c r="F80" s="176">
        <v>708</v>
      </c>
      <c r="G80" s="176">
        <v>713</v>
      </c>
      <c r="H80" s="14">
        <f>E80/D80</f>
        <v>2.564981949458484</v>
      </c>
      <c r="I80" s="12">
        <v>1382</v>
      </c>
      <c r="J80" s="4">
        <f>E80-I80</f>
        <v>39</v>
      </c>
      <c r="K80" s="14">
        <f>J80/I80*100</f>
        <v>2.821997105643994</v>
      </c>
      <c r="L80" s="4">
        <f>E80/2.26</f>
        <v>628.7610619469027</v>
      </c>
    </row>
    <row r="81" spans="1:12" ht="6" customHeight="1">
      <c r="A81" s="71"/>
      <c r="B81" s="71"/>
      <c r="C81" s="23"/>
      <c r="D81" s="173"/>
      <c r="E81" s="19"/>
      <c r="F81" s="18"/>
      <c r="G81" s="18"/>
      <c r="H81" s="41"/>
      <c r="I81" s="74"/>
      <c r="J81" s="19"/>
      <c r="K81" s="41"/>
      <c r="L81" s="19"/>
    </row>
    <row r="82" spans="1:12" s="175" customFormat="1" ht="13.5">
      <c r="A82" s="227" t="s">
        <v>30</v>
      </c>
      <c r="B82" s="227"/>
      <c r="C82" s="171"/>
      <c r="D82" s="172">
        <v>6627</v>
      </c>
      <c r="E82" s="4">
        <v>16022</v>
      </c>
      <c r="F82" s="7">
        <v>8159</v>
      </c>
      <c r="G82" s="7">
        <v>7863</v>
      </c>
      <c r="H82" s="14">
        <f aca="true" t="shared" si="13" ref="H82:H90">E82/D82</f>
        <v>2.4176852271012526</v>
      </c>
      <c r="I82" s="12">
        <v>15837</v>
      </c>
      <c r="J82" s="4">
        <f>SUM(J83:J90)</f>
        <v>185</v>
      </c>
      <c r="K82" s="14">
        <f aca="true" t="shared" si="14" ref="K82:K90">J82/I82*100</f>
        <v>1.168150533560649</v>
      </c>
      <c r="L82" s="4">
        <f>E82/2.08</f>
        <v>7702.884615384615</v>
      </c>
    </row>
    <row r="83" spans="1:12" ht="13.5">
      <c r="A83" s="71"/>
      <c r="B83" s="71" t="s">
        <v>13</v>
      </c>
      <c r="C83" s="23"/>
      <c r="D83" s="174">
        <v>421</v>
      </c>
      <c r="E83" s="19">
        <v>1050</v>
      </c>
      <c r="F83" s="170">
        <v>539</v>
      </c>
      <c r="G83" s="170">
        <v>511</v>
      </c>
      <c r="H83" s="41">
        <f t="shared" si="13"/>
        <v>2.494061757719715</v>
      </c>
      <c r="I83" s="74">
        <v>1028</v>
      </c>
      <c r="J83" s="19">
        <f aca="true" t="shared" si="15" ref="J83:J90">E83-I83</f>
        <v>22</v>
      </c>
      <c r="K83" s="41">
        <f t="shared" si="14"/>
        <v>2.140077821011673</v>
      </c>
      <c r="L83" s="19">
        <f>E83/0.258</f>
        <v>4069.767441860465</v>
      </c>
    </row>
    <row r="84" spans="1:12" ht="13.5">
      <c r="A84" s="71"/>
      <c r="B84" s="71" t="s">
        <v>14</v>
      </c>
      <c r="C84" s="23"/>
      <c r="D84" s="174">
        <v>704</v>
      </c>
      <c r="E84" s="19">
        <v>1870</v>
      </c>
      <c r="F84" s="170">
        <v>929</v>
      </c>
      <c r="G84" s="170">
        <v>941</v>
      </c>
      <c r="H84" s="41">
        <f t="shared" si="13"/>
        <v>2.65625</v>
      </c>
      <c r="I84" s="74">
        <v>1841</v>
      </c>
      <c r="J84" s="19">
        <f t="shared" si="15"/>
        <v>29</v>
      </c>
      <c r="K84" s="41">
        <f t="shared" si="14"/>
        <v>1.5752308527973928</v>
      </c>
      <c r="L84" s="19">
        <f>E84/0.333</f>
        <v>5615.615615615616</v>
      </c>
    </row>
    <row r="85" spans="1:12" ht="13.5" customHeight="1">
      <c r="A85" s="71"/>
      <c r="B85" s="71" t="s">
        <v>15</v>
      </c>
      <c r="C85" s="23"/>
      <c r="D85" s="174">
        <v>525</v>
      </c>
      <c r="E85" s="19">
        <v>1220</v>
      </c>
      <c r="F85" s="170">
        <v>647</v>
      </c>
      <c r="G85" s="170">
        <v>573</v>
      </c>
      <c r="H85" s="41">
        <f t="shared" si="13"/>
        <v>2.323809523809524</v>
      </c>
      <c r="I85" s="74">
        <v>1204</v>
      </c>
      <c r="J85" s="19">
        <f t="shared" si="15"/>
        <v>16</v>
      </c>
      <c r="K85" s="41">
        <f t="shared" si="14"/>
        <v>1.3289036544850499</v>
      </c>
      <c r="L85" s="19">
        <f>E85/0.228</f>
        <v>5350.877192982456</v>
      </c>
    </row>
    <row r="86" spans="1:12" ht="13.5">
      <c r="A86" s="71"/>
      <c r="B86" s="71" t="s">
        <v>16</v>
      </c>
      <c r="C86" s="23"/>
      <c r="D86" s="174">
        <v>961</v>
      </c>
      <c r="E86" s="19">
        <v>2479</v>
      </c>
      <c r="F86" s="170">
        <v>1292</v>
      </c>
      <c r="G86" s="170">
        <v>1187</v>
      </c>
      <c r="H86" s="41">
        <f t="shared" si="13"/>
        <v>2.579604578563996</v>
      </c>
      <c r="I86" s="74">
        <v>2452</v>
      </c>
      <c r="J86" s="19">
        <f t="shared" si="15"/>
        <v>27</v>
      </c>
      <c r="K86" s="41">
        <f t="shared" si="14"/>
        <v>1.101141924959217</v>
      </c>
      <c r="L86" s="19">
        <f>E86/0.269</f>
        <v>9215.613382899628</v>
      </c>
    </row>
    <row r="87" spans="1:12" ht="13.5">
      <c r="A87" s="71"/>
      <c r="B87" s="71" t="s">
        <v>17</v>
      </c>
      <c r="C87" s="23"/>
      <c r="D87" s="174">
        <v>349</v>
      </c>
      <c r="E87" s="19">
        <v>784</v>
      </c>
      <c r="F87" s="170">
        <v>392</v>
      </c>
      <c r="G87" s="170">
        <v>392</v>
      </c>
      <c r="H87" s="41">
        <f t="shared" si="13"/>
        <v>2.2464183381088825</v>
      </c>
      <c r="I87" s="74">
        <v>769</v>
      </c>
      <c r="J87" s="19">
        <f t="shared" si="15"/>
        <v>15</v>
      </c>
      <c r="K87" s="41">
        <f t="shared" si="14"/>
        <v>1.950585175552666</v>
      </c>
      <c r="L87" s="19">
        <f>E87/0.201</f>
        <v>3900.4975124378107</v>
      </c>
    </row>
    <row r="88" spans="1:12" ht="13.5">
      <c r="A88" s="71"/>
      <c r="B88" s="71" t="s">
        <v>18</v>
      </c>
      <c r="C88" s="23"/>
      <c r="D88" s="174">
        <v>797</v>
      </c>
      <c r="E88" s="19">
        <v>1870</v>
      </c>
      <c r="F88" s="170">
        <v>928</v>
      </c>
      <c r="G88" s="170">
        <v>942</v>
      </c>
      <c r="H88" s="41">
        <f t="shared" si="13"/>
        <v>2.346298619824341</v>
      </c>
      <c r="I88" s="74">
        <v>1860</v>
      </c>
      <c r="J88" s="19">
        <f t="shared" si="15"/>
        <v>10</v>
      </c>
      <c r="K88" s="41">
        <f t="shared" si="14"/>
        <v>0.5376344086021506</v>
      </c>
      <c r="L88" s="19">
        <f>E88/0.225</f>
        <v>8311.111111111111</v>
      </c>
    </row>
    <row r="89" spans="1:12" ht="13.5">
      <c r="A89" s="71"/>
      <c r="B89" s="71" t="s">
        <v>19</v>
      </c>
      <c r="C89" s="23"/>
      <c r="D89" s="174">
        <v>1206</v>
      </c>
      <c r="E89" s="19">
        <v>2857</v>
      </c>
      <c r="F89" s="170">
        <v>1427</v>
      </c>
      <c r="G89" s="170">
        <v>1430</v>
      </c>
      <c r="H89" s="41">
        <f t="shared" si="13"/>
        <v>2.368988391376451</v>
      </c>
      <c r="I89" s="74">
        <v>2773</v>
      </c>
      <c r="J89" s="19">
        <f t="shared" si="15"/>
        <v>84</v>
      </c>
      <c r="K89" s="41">
        <f t="shared" si="14"/>
        <v>3.0292102416155786</v>
      </c>
      <c r="L89" s="19">
        <f>E89/0.228</f>
        <v>12530.701754385964</v>
      </c>
    </row>
    <row r="90" spans="1:12" ht="13.5">
      <c r="A90" s="71"/>
      <c r="B90" s="71" t="s">
        <v>31</v>
      </c>
      <c r="C90" s="23"/>
      <c r="D90" s="174">
        <v>1664</v>
      </c>
      <c r="E90" s="19">
        <v>3892</v>
      </c>
      <c r="F90" s="170">
        <v>2005</v>
      </c>
      <c r="G90" s="170">
        <v>1887</v>
      </c>
      <c r="H90" s="41">
        <f t="shared" si="13"/>
        <v>2.3389423076923075</v>
      </c>
      <c r="I90" s="74">
        <v>3910</v>
      </c>
      <c r="J90" s="19">
        <f t="shared" si="15"/>
        <v>-18</v>
      </c>
      <c r="K90" s="41">
        <f t="shared" si="14"/>
        <v>-0.46035805626598464</v>
      </c>
      <c r="L90" s="19">
        <f>E90/0.338</f>
        <v>11514.792899408283</v>
      </c>
    </row>
    <row r="91" spans="1:12" ht="6" customHeight="1">
      <c r="A91" s="71"/>
      <c r="B91" s="71"/>
      <c r="C91" s="23"/>
      <c r="D91" s="173"/>
      <c r="E91" s="19"/>
      <c r="F91" s="18"/>
      <c r="G91" s="18"/>
      <c r="H91" s="41"/>
      <c r="I91" s="74"/>
      <c r="J91" s="19"/>
      <c r="K91" s="41"/>
      <c r="L91" s="19"/>
    </row>
    <row r="92" spans="1:12" s="175" customFormat="1" ht="13.5">
      <c r="A92" s="227" t="s">
        <v>32</v>
      </c>
      <c r="B92" s="227"/>
      <c r="C92" s="171"/>
      <c r="D92" s="172">
        <v>4575</v>
      </c>
      <c r="E92" s="7">
        <v>10478</v>
      </c>
      <c r="F92" s="7">
        <v>5050</v>
      </c>
      <c r="G92" s="7">
        <v>5428</v>
      </c>
      <c r="H92" s="14">
        <f aca="true" t="shared" si="16" ref="H92:H97">E92/D92</f>
        <v>2.290273224043716</v>
      </c>
      <c r="I92" s="12">
        <v>10517</v>
      </c>
      <c r="J92" s="4">
        <f>SUM(J93:J98)</f>
        <v>-39</v>
      </c>
      <c r="K92" s="14">
        <f aca="true" t="shared" si="17" ref="K92:K97">J92/I92*100</f>
        <v>-0.3708281829419036</v>
      </c>
      <c r="L92" s="4">
        <f>E92/1.82</f>
        <v>5757.142857142857</v>
      </c>
    </row>
    <row r="93" spans="1:12" ht="13.5" customHeight="1">
      <c r="A93" s="71"/>
      <c r="B93" s="71" t="s">
        <v>13</v>
      </c>
      <c r="C93" s="23"/>
      <c r="D93" s="174">
        <v>1420</v>
      </c>
      <c r="E93" s="19">
        <v>3155</v>
      </c>
      <c r="F93" s="170">
        <v>1363</v>
      </c>
      <c r="G93" s="170">
        <v>1792</v>
      </c>
      <c r="H93" s="41">
        <f t="shared" si="16"/>
        <v>2.221830985915493</v>
      </c>
      <c r="I93" s="74">
        <v>3247</v>
      </c>
      <c r="J93" s="19">
        <f>E93-I93</f>
        <v>-92</v>
      </c>
      <c r="K93" s="41">
        <f t="shared" si="17"/>
        <v>-2.8333846627656296</v>
      </c>
      <c r="L93" s="19">
        <f>E93/0.253</f>
        <v>12470.355731225296</v>
      </c>
    </row>
    <row r="94" spans="1:12" ht="13.5">
      <c r="A94" s="71"/>
      <c r="B94" s="71" t="s">
        <v>14</v>
      </c>
      <c r="C94" s="23"/>
      <c r="D94" s="174">
        <v>314</v>
      </c>
      <c r="E94" s="19">
        <v>764</v>
      </c>
      <c r="F94" s="170">
        <v>398</v>
      </c>
      <c r="G94" s="170">
        <v>366</v>
      </c>
      <c r="H94" s="41">
        <f t="shared" si="16"/>
        <v>2.43312101910828</v>
      </c>
      <c r="I94" s="74">
        <v>788</v>
      </c>
      <c r="J94" s="19">
        <f>E94-I94</f>
        <v>-24</v>
      </c>
      <c r="K94" s="41">
        <f t="shared" si="17"/>
        <v>-3.0456852791878175</v>
      </c>
      <c r="L94" s="19">
        <f>E94/0.188</f>
        <v>4063.8297872340427</v>
      </c>
    </row>
    <row r="95" spans="1:12" ht="13.5">
      <c r="A95" s="71"/>
      <c r="B95" s="71" t="s">
        <v>15</v>
      </c>
      <c r="C95" s="23"/>
      <c r="D95" s="174">
        <v>579</v>
      </c>
      <c r="E95" s="19">
        <v>1445</v>
      </c>
      <c r="F95" s="170">
        <v>737</v>
      </c>
      <c r="G95" s="170">
        <v>708</v>
      </c>
      <c r="H95" s="41">
        <f t="shared" si="16"/>
        <v>2.4956822107081176</v>
      </c>
      <c r="I95" s="74">
        <v>1423</v>
      </c>
      <c r="J95" s="19">
        <f>E95-I95</f>
        <v>22</v>
      </c>
      <c r="K95" s="41">
        <f t="shared" si="17"/>
        <v>1.5460295151089247</v>
      </c>
      <c r="L95" s="19">
        <f>E95/0.283</f>
        <v>5106.00706713781</v>
      </c>
    </row>
    <row r="96" spans="1:12" ht="13.5">
      <c r="A96" s="71"/>
      <c r="B96" s="71" t="s">
        <v>16</v>
      </c>
      <c r="C96" s="23"/>
      <c r="D96" s="174">
        <v>335</v>
      </c>
      <c r="E96" s="19">
        <v>789</v>
      </c>
      <c r="F96" s="170">
        <v>390</v>
      </c>
      <c r="G96" s="170">
        <v>399</v>
      </c>
      <c r="H96" s="41">
        <f t="shared" si="16"/>
        <v>2.355223880597015</v>
      </c>
      <c r="I96" s="74">
        <v>806</v>
      </c>
      <c r="J96" s="19">
        <f>E96-I96</f>
        <v>-17</v>
      </c>
      <c r="K96" s="41">
        <f t="shared" si="17"/>
        <v>-2.109181141439206</v>
      </c>
      <c r="L96" s="19">
        <f>E96/0.23</f>
        <v>3430.4347826086955</v>
      </c>
    </row>
    <row r="97" spans="1:12" ht="13.5">
      <c r="A97" s="71"/>
      <c r="B97" s="71" t="s">
        <v>17</v>
      </c>
      <c r="C97" s="23"/>
      <c r="D97" s="174">
        <v>1927</v>
      </c>
      <c r="E97" s="19">
        <v>4325</v>
      </c>
      <c r="F97" s="170">
        <v>2162</v>
      </c>
      <c r="G97" s="170">
        <v>2163</v>
      </c>
      <c r="H97" s="41">
        <f t="shared" si="16"/>
        <v>2.2444213803840167</v>
      </c>
      <c r="I97" s="74">
        <v>4253</v>
      </c>
      <c r="J97" s="19">
        <f>E97-I97</f>
        <v>72</v>
      </c>
      <c r="K97" s="41">
        <f t="shared" si="17"/>
        <v>1.692922642840348</v>
      </c>
      <c r="L97" s="19">
        <f>E97/0.378</f>
        <v>11441.798941798941</v>
      </c>
    </row>
    <row r="98" spans="1:12" ht="13.5" customHeight="1">
      <c r="A98" s="71"/>
      <c r="B98" s="71" t="s">
        <v>18</v>
      </c>
      <c r="C98" s="23"/>
      <c r="D98" s="173" t="s">
        <v>294</v>
      </c>
      <c r="E98" s="19" t="s">
        <v>294</v>
      </c>
      <c r="F98" s="18" t="s">
        <v>294</v>
      </c>
      <c r="G98" s="18" t="s">
        <v>294</v>
      </c>
      <c r="H98" s="19" t="s">
        <v>243</v>
      </c>
      <c r="I98" s="74" t="s">
        <v>294</v>
      </c>
      <c r="J98" s="19" t="s">
        <v>243</v>
      </c>
      <c r="K98" s="19" t="s">
        <v>243</v>
      </c>
      <c r="L98" s="19" t="s">
        <v>243</v>
      </c>
    </row>
    <row r="99" spans="1:12" ht="13.5">
      <c r="A99" s="71"/>
      <c r="B99" s="71" t="s">
        <v>19</v>
      </c>
      <c r="C99" s="23"/>
      <c r="D99" s="173" t="s">
        <v>294</v>
      </c>
      <c r="E99" s="19" t="s">
        <v>294</v>
      </c>
      <c r="F99" s="18" t="s">
        <v>294</v>
      </c>
      <c r="G99" s="18" t="s">
        <v>294</v>
      </c>
      <c r="H99" s="19" t="s">
        <v>243</v>
      </c>
      <c r="I99" s="74" t="s">
        <v>294</v>
      </c>
      <c r="J99" s="19" t="s">
        <v>243</v>
      </c>
      <c r="K99" s="19" t="s">
        <v>243</v>
      </c>
      <c r="L99" s="19" t="s">
        <v>243</v>
      </c>
    </row>
    <row r="100" spans="1:12" ht="6" customHeight="1">
      <c r="A100" s="71"/>
      <c r="B100" s="71"/>
      <c r="C100" s="23"/>
      <c r="D100" s="173"/>
      <c r="E100" s="19"/>
      <c r="F100" s="18"/>
      <c r="G100" s="18"/>
      <c r="H100" s="41"/>
      <c r="I100" s="74"/>
      <c r="J100" s="19"/>
      <c r="K100" s="41"/>
      <c r="L100" s="19"/>
    </row>
    <row r="101" spans="1:12" s="175" customFormat="1" ht="13.5">
      <c r="A101" s="227" t="s">
        <v>33</v>
      </c>
      <c r="B101" s="227"/>
      <c r="C101" s="171"/>
      <c r="D101" s="172">
        <v>5913</v>
      </c>
      <c r="E101" s="4">
        <v>13538</v>
      </c>
      <c r="F101" s="7">
        <v>6855</v>
      </c>
      <c r="G101" s="7">
        <v>6683</v>
      </c>
      <c r="H101" s="14">
        <f aca="true" t="shared" si="18" ref="H101:H107">E101/D101</f>
        <v>2.289531540673093</v>
      </c>
      <c r="I101" s="12">
        <v>13513</v>
      </c>
      <c r="J101" s="4">
        <f>SUM(J102:J107)</f>
        <v>25</v>
      </c>
      <c r="K101" s="14">
        <f aca="true" t="shared" si="19" ref="K101:K107">J101/I101*100</f>
        <v>0.18500703026715015</v>
      </c>
      <c r="L101" s="4">
        <f>E101/1.465</f>
        <v>9240.955631399316</v>
      </c>
    </row>
    <row r="102" spans="1:12" ht="13.5">
      <c r="A102" s="71"/>
      <c r="B102" s="71" t="s">
        <v>13</v>
      </c>
      <c r="C102" s="23"/>
      <c r="D102" s="174">
        <v>1053</v>
      </c>
      <c r="E102" s="19">
        <v>2447</v>
      </c>
      <c r="F102" s="170">
        <v>1298</v>
      </c>
      <c r="G102" s="170">
        <v>1149</v>
      </c>
      <c r="H102" s="41">
        <f t="shared" si="18"/>
        <v>2.3238366571699904</v>
      </c>
      <c r="I102" s="74">
        <v>2422</v>
      </c>
      <c r="J102" s="19">
        <f aca="true" t="shared" si="20" ref="J102:J107">E102-I102</f>
        <v>25</v>
      </c>
      <c r="K102" s="41">
        <f t="shared" si="19"/>
        <v>1.032204789430223</v>
      </c>
      <c r="L102" s="19">
        <f>E102/0.27</f>
        <v>9062.962962962962</v>
      </c>
    </row>
    <row r="103" spans="1:12" ht="13.5" customHeight="1">
      <c r="A103" s="71"/>
      <c r="B103" s="71" t="s">
        <v>14</v>
      </c>
      <c r="C103" s="23"/>
      <c r="D103" s="174">
        <v>847</v>
      </c>
      <c r="E103" s="19">
        <v>2001</v>
      </c>
      <c r="F103" s="170">
        <v>1029</v>
      </c>
      <c r="G103" s="170">
        <v>972</v>
      </c>
      <c r="H103" s="41">
        <f t="shared" si="18"/>
        <v>2.3624557260920898</v>
      </c>
      <c r="I103" s="74">
        <v>1893</v>
      </c>
      <c r="J103" s="19">
        <f t="shared" si="20"/>
        <v>108</v>
      </c>
      <c r="K103" s="41">
        <f t="shared" si="19"/>
        <v>5.705229793977813</v>
      </c>
      <c r="L103" s="19">
        <f>E103/0.285</f>
        <v>7021.052631578948</v>
      </c>
    </row>
    <row r="104" spans="1:12" ht="13.5">
      <c r="A104" s="71"/>
      <c r="B104" s="71" t="s">
        <v>15</v>
      </c>
      <c r="C104" s="23"/>
      <c r="D104" s="174">
        <v>367</v>
      </c>
      <c r="E104" s="19">
        <v>937</v>
      </c>
      <c r="F104" s="170">
        <v>469</v>
      </c>
      <c r="G104" s="170">
        <v>468</v>
      </c>
      <c r="H104" s="41">
        <f t="shared" si="18"/>
        <v>2.553133514986376</v>
      </c>
      <c r="I104" s="74">
        <v>939</v>
      </c>
      <c r="J104" s="19">
        <f t="shared" si="20"/>
        <v>-2</v>
      </c>
      <c r="K104" s="41">
        <f t="shared" si="19"/>
        <v>-0.21299254526091588</v>
      </c>
      <c r="L104" s="19">
        <f>E104/0.171</f>
        <v>5479.53216374269</v>
      </c>
    </row>
    <row r="105" spans="1:12" ht="13.5">
      <c r="A105" s="71"/>
      <c r="B105" s="71" t="s">
        <v>16</v>
      </c>
      <c r="C105" s="23"/>
      <c r="D105" s="174">
        <v>925</v>
      </c>
      <c r="E105" s="19">
        <v>2065</v>
      </c>
      <c r="F105" s="170">
        <v>1076</v>
      </c>
      <c r="G105" s="170">
        <v>989</v>
      </c>
      <c r="H105" s="41">
        <f t="shared" si="18"/>
        <v>2.2324324324324323</v>
      </c>
      <c r="I105" s="74">
        <v>2044</v>
      </c>
      <c r="J105" s="19">
        <f t="shared" si="20"/>
        <v>21</v>
      </c>
      <c r="K105" s="41">
        <f t="shared" si="19"/>
        <v>1.0273972602739725</v>
      </c>
      <c r="L105" s="19">
        <f>E105/0.328</f>
        <v>6295.7317073170725</v>
      </c>
    </row>
    <row r="106" spans="1:12" ht="13.5">
      <c r="A106" s="71"/>
      <c r="B106" s="71" t="s">
        <v>17</v>
      </c>
      <c r="C106" s="23"/>
      <c r="D106" s="174">
        <v>1368</v>
      </c>
      <c r="E106" s="19">
        <v>2621</v>
      </c>
      <c r="F106" s="170">
        <v>1261</v>
      </c>
      <c r="G106" s="170">
        <v>1360</v>
      </c>
      <c r="H106" s="41">
        <f t="shared" si="18"/>
        <v>1.91593567251462</v>
      </c>
      <c r="I106" s="74">
        <v>2685</v>
      </c>
      <c r="J106" s="19">
        <f t="shared" si="20"/>
        <v>-64</v>
      </c>
      <c r="K106" s="41">
        <f t="shared" si="19"/>
        <v>-2.3836126629422716</v>
      </c>
      <c r="L106" s="19">
        <f>E106/0.145</f>
        <v>18075.862068965518</v>
      </c>
    </row>
    <row r="107" spans="1:12" ht="13.5">
      <c r="A107" s="71"/>
      <c r="B107" s="71" t="s">
        <v>18</v>
      </c>
      <c r="C107" s="23"/>
      <c r="D107" s="174">
        <v>1353</v>
      </c>
      <c r="E107" s="19">
        <v>3467</v>
      </c>
      <c r="F107" s="170">
        <v>1722</v>
      </c>
      <c r="G107" s="170">
        <v>1745</v>
      </c>
      <c r="H107" s="41">
        <f t="shared" si="18"/>
        <v>2.5624538063562454</v>
      </c>
      <c r="I107" s="74">
        <v>3530</v>
      </c>
      <c r="J107" s="19">
        <f t="shared" si="20"/>
        <v>-63</v>
      </c>
      <c r="K107" s="41">
        <f t="shared" si="19"/>
        <v>-1.7847025495750706</v>
      </c>
      <c r="L107" s="19">
        <f>E107/0.266</f>
        <v>13033.834586466164</v>
      </c>
    </row>
    <row r="108" spans="1:12" ht="6" customHeight="1">
      <c r="A108" s="71"/>
      <c r="B108" s="71"/>
      <c r="C108" s="23"/>
      <c r="D108" s="173"/>
      <c r="E108" s="19"/>
      <c r="F108" s="18"/>
      <c r="G108" s="18"/>
      <c r="H108" s="41"/>
      <c r="I108" s="74"/>
      <c r="J108" s="19"/>
      <c r="K108" s="41"/>
      <c r="L108" s="19"/>
    </row>
    <row r="109" spans="1:12" s="175" customFormat="1" ht="13.5">
      <c r="A109" s="227" t="s">
        <v>34</v>
      </c>
      <c r="B109" s="227"/>
      <c r="C109" s="171"/>
      <c r="D109" s="172">
        <v>3142</v>
      </c>
      <c r="E109" s="4">
        <v>8025</v>
      </c>
      <c r="F109" s="7">
        <v>4021</v>
      </c>
      <c r="G109" s="7">
        <v>4004</v>
      </c>
      <c r="H109" s="14">
        <f aca="true" t="shared" si="21" ref="H109:H116">E109/D109</f>
        <v>2.554105665181413</v>
      </c>
      <c r="I109" s="12">
        <v>7941</v>
      </c>
      <c r="J109" s="4">
        <f>SUM(J110:J116)</f>
        <v>84</v>
      </c>
      <c r="K109" s="14">
        <f aca="true" t="shared" si="22" ref="K109:K116">J109/I109*100</f>
        <v>1.0578012844729883</v>
      </c>
      <c r="L109" s="4">
        <f>E109/2.427</f>
        <v>3306.5512978986403</v>
      </c>
    </row>
    <row r="110" spans="1:12" ht="13.5" customHeight="1">
      <c r="A110" s="71"/>
      <c r="B110" s="71" t="s">
        <v>13</v>
      </c>
      <c r="C110" s="23"/>
      <c r="D110" s="174">
        <v>440</v>
      </c>
      <c r="E110" s="19">
        <v>1083</v>
      </c>
      <c r="F110" s="170">
        <v>553</v>
      </c>
      <c r="G110" s="170">
        <v>530</v>
      </c>
      <c r="H110" s="41">
        <f t="shared" si="21"/>
        <v>2.4613636363636364</v>
      </c>
      <c r="I110" s="74">
        <v>1069</v>
      </c>
      <c r="J110" s="19">
        <f aca="true" t="shared" si="23" ref="J110:J116">E110-I110</f>
        <v>14</v>
      </c>
      <c r="K110" s="41">
        <f t="shared" si="22"/>
        <v>1.3096351730589337</v>
      </c>
      <c r="L110" s="19">
        <f>E110/0.358</f>
        <v>3025.1396648044692</v>
      </c>
    </row>
    <row r="111" spans="1:12" ht="13.5">
      <c r="A111" s="71"/>
      <c r="B111" s="71" t="s">
        <v>14</v>
      </c>
      <c r="C111" s="23"/>
      <c r="D111" s="174">
        <v>789</v>
      </c>
      <c r="E111" s="19">
        <v>2047</v>
      </c>
      <c r="F111" s="170">
        <v>1022</v>
      </c>
      <c r="G111" s="170">
        <v>1025</v>
      </c>
      <c r="H111" s="41">
        <f t="shared" si="21"/>
        <v>2.594423320659062</v>
      </c>
      <c r="I111" s="74">
        <v>2043</v>
      </c>
      <c r="J111" s="19">
        <f t="shared" si="23"/>
        <v>4</v>
      </c>
      <c r="K111" s="41">
        <f t="shared" si="22"/>
        <v>0.19579050416054822</v>
      </c>
      <c r="L111" s="19">
        <f>E111/0.343</f>
        <v>5967.930029154519</v>
      </c>
    </row>
    <row r="112" spans="1:12" ht="13.5">
      <c r="A112" s="71"/>
      <c r="B112" s="71" t="s">
        <v>15</v>
      </c>
      <c r="C112" s="23"/>
      <c r="D112" s="174">
        <v>326</v>
      </c>
      <c r="E112" s="19">
        <v>861</v>
      </c>
      <c r="F112" s="170">
        <v>440</v>
      </c>
      <c r="G112" s="170">
        <v>421</v>
      </c>
      <c r="H112" s="41">
        <f t="shared" si="21"/>
        <v>2.6411042944785277</v>
      </c>
      <c r="I112" s="74">
        <v>847</v>
      </c>
      <c r="J112" s="19">
        <f t="shared" si="23"/>
        <v>14</v>
      </c>
      <c r="K112" s="41">
        <f t="shared" si="22"/>
        <v>1.6528925619834711</v>
      </c>
      <c r="L112" s="19">
        <f>E112/0.336</f>
        <v>2562.5</v>
      </c>
    </row>
    <row r="113" spans="1:12" ht="13.5">
      <c r="A113" s="71"/>
      <c r="B113" s="71" t="s">
        <v>16</v>
      </c>
      <c r="C113" s="23"/>
      <c r="D113" s="174">
        <v>216</v>
      </c>
      <c r="E113" s="19">
        <v>563</v>
      </c>
      <c r="F113" s="170">
        <v>286</v>
      </c>
      <c r="G113" s="170">
        <v>277</v>
      </c>
      <c r="H113" s="41">
        <f t="shared" si="21"/>
        <v>2.6064814814814814</v>
      </c>
      <c r="I113" s="74">
        <v>554</v>
      </c>
      <c r="J113" s="19">
        <f t="shared" si="23"/>
        <v>9</v>
      </c>
      <c r="K113" s="41">
        <f t="shared" si="22"/>
        <v>1.6245487364620936</v>
      </c>
      <c r="L113" s="19">
        <f>E113/0.445</f>
        <v>1265.1685393258426</v>
      </c>
    </row>
    <row r="114" spans="1:12" ht="13.5">
      <c r="A114" s="71"/>
      <c r="B114" s="71" t="s">
        <v>17</v>
      </c>
      <c r="C114" s="23"/>
      <c r="D114" s="174">
        <v>935</v>
      </c>
      <c r="E114" s="19">
        <v>2359</v>
      </c>
      <c r="F114" s="170">
        <v>1170</v>
      </c>
      <c r="G114" s="170">
        <v>1189</v>
      </c>
      <c r="H114" s="41">
        <f t="shared" si="21"/>
        <v>2.522994652406417</v>
      </c>
      <c r="I114" s="74">
        <v>2325</v>
      </c>
      <c r="J114" s="19">
        <f t="shared" si="23"/>
        <v>34</v>
      </c>
      <c r="K114" s="41">
        <f t="shared" si="22"/>
        <v>1.4623655913978495</v>
      </c>
      <c r="L114" s="19">
        <f>E114/0.365</f>
        <v>6463.013698630137</v>
      </c>
    </row>
    <row r="115" spans="1:12" ht="13.5">
      <c r="A115" s="71"/>
      <c r="B115" s="71" t="s">
        <v>18</v>
      </c>
      <c r="C115" s="23"/>
      <c r="D115" s="174">
        <v>421</v>
      </c>
      <c r="E115" s="19">
        <v>1075</v>
      </c>
      <c r="F115" s="170">
        <v>536</v>
      </c>
      <c r="G115" s="170">
        <v>539</v>
      </c>
      <c r="H115" s="41">
        <f t="shared" si="21"/>
        <v>2.553444180522565</v>
      </c>
      <c r="I115" s="74">
        <v>1069</v>
      </c>
      <c r="J115" s="19">
        <f t="shared" si="23"/>
        <v>6</v>
      </c>
      <c r="K115" s="41">
        <f t="shared" si="22"/>
        <v>0.5612722170252572</v>
      </c>
      <c r="L115" s="19">
        <f>E115/0.397</f>
        <v>2707.808564231738</v>
      </c>
    </row>
    <row r="116" spans="1:12" ht="13.5">
      <c r="A116" s="71"/>
      <c r="B116" s="71" t="s">
        <v>19</v>
      </c>
      <c r="C116" s="23"/>
      <c r="D116" s="174">
        <v>15</v>
      </c>
      <c r="E116" s="19">
        <v>37</v>
      </c>
      <c r="F116" s="170">
        <v>14</v>
      </c>
      <c r="G116" s="170">
        <v>23</v>
      </c>
      <c r="H116" s="41">
        <f t="shared" si="21"/>
        <v>2.466666666666667</v>
      </c>
      <c r="I116" s="74">
        <v>34</v>
      </c>
      <c r="J116" s="19">
        <f t="shared" si="23"/>
        <v>3</v>
      </c>
      <c r="K116" s="41">
        <f t="shared" si="22"/>
        <v>8.823529411764707</v>
      </c>
      <c r="L116" s="19">
        <f>E116/0.183</f>
        <v>202.18579234972677</v>
      </c>
    </row>
    <row r="117" spans="1:12" ht="6" customHeight="1">
      <c r="A117" s="88"/>
      <c r="B117" s="88"/>
      <c r="C117" s="31"/>
      <c r="D117" s="66"/>
      <c r="E117" s="67"/>
      <c r="F117" s="67"/>
      <c r="G117" s="67"/>
      <c r="H117" s="67"/>
      <c r="I117" s="94"/>
      <c r="J117" s="67"/>
      <c r="K117" s="67"/>
      <c r="L117" s="67"/>
    </row>
    <row r="118" spans="1:12" s="161" customFormat="1" ht="13.5">
      <c r="A118" s="159" t="s">
        <v>223</v>
      </c>
      <c r="B118" s="160"/>
      <c r="C118" s="160"/>
      <c r="D118" s="160"/>
      <c r="E118" s="160"/>
      <c r="F118" s="160"/>
      <c r="G118" s="160"/>
      <c r="H118" s="160"/>
      <c r="I118" s="165"/>
      <c r="J118" s="160"/>
      <c r="K118" s="160"/>
      <c r="L118" s="166"/>
    </row>
    <row r="119" spans="1:11" s="161" customFormat="1" ht="13.5">
      <c r="A119" s="164" t="s">
        <v>259</v>
      </c>
      <c r="B119" s="162"/>
      <c r="C119" s="162"/>
      <c r="D119" s="162"/>
      <c r="E119" s="162"/>
      <c r="F119" s="162"/>
      <c r="G119" s="162"/>
      <c r="H119" s="162"/>
      <c r="I119" s="167"/>
      <c r="J119" s="162"/>
      <c r="K119" s="162"/>
    </row>
    <row r="120" spans="1:12" ht="13.5">
      <c r="A120" s="20"/>
      <c r="B120" s="20"/>
      <c r="C120" s="20"/>
      <c r="D120" s="20"/>
      <c r="E120" s="20"/>
      <c r="F120" s="20"/>
      <c r="G120" s="20"/>
      <c r="H120" s="20"/>
      <c r="I120" s="75"/>
      <c r="J120" s="20"/>
      <c r="K120" s="20"/>
      <c r="L120" s="20"/>
    </row>
  </sheetData>
  <sheetProtection/>
  <mergeCells count="24">
    <mergeCell ref="A26:B26"/>
    <mergeCell ref="A51:B51"/>
    <mergeCell ref="A59:B59"/>
    <mergeCell ref="A34:B34"/>
    <mergeCell ref="A39:B39"/>
    <mergeCell ref="A44:B44"/>
    <mergeCell ref="A49:B49"/>
    <mergeCell ref="J4:K4"/>
    <mergeCell ref="A4:C5"/>
    <mergeCell ref="A18:B18"/>
    <mergeCell ref="A7:B7"/>
    <mergeCell ref="A9:B9"/>
    <mergeCell ref="A8:B8"/>
    <mergeCell ref="A6:B6"/>
    <mergeCell ref="D4:D5"/>
    <mergeCell ref="E4:G4"/>
    <mergeCell ref="A109:B109"/>
    <mergeCell ref="A80:B80"/>
    <mergeCell ref="A64:B64"/>
    <mergeCell ref="A65:B65"/>
    <mergeCell ref="A73:B73"/>
    <mergeCell ref="A82:B82"/>
    <mergeCell ref="A92:B92"/>
    <mergeCell ref="A101:B101"/>
  </mergeCells>
  <printOptions/>
  <pageMargins left="0.7874015748031497" right="0.7874015748031497" top="0.7" bottom="0.32" header="0.511811023622047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1">
      <selection activeCell="A3" sqref="A3:IV3"/>
    </sheetView>
  </sheetViews>
  <sheetFormatPr defaultColWidth="9.00390625" defaultRowHeight="13.5"/>
  <cols>
    <col min="1" max="1" width="8.125" style="2" customWidth="1"/>
    <col min="2" max="2" width="2.50390625" style="2" customWidth="1"/>
    <col min="3" max="5" width="10.00390625" style="2" customWidth="1"/>
    <col min="6" max="6" width="2.50390625" style="2" customWidth="1"/>
    <col min="7" max="7" width="5.625" style="2" customWidth="1"/>
    <col min="8" max="8" width="3.125" style="2" customWidth="1"/>
    <col min="9" max="11" width="10.00390625" style="2" customWidth="1"/>
    <col min="12" max="16384" width="9.00390625" style="2" customWidth="1"/>
  </cols>
  <sheetData>
    <row r="1" s="213" customFormat="1" ht="15.75" customHeight="1">
      <c r="A1" s="179" t="s">
        <v>320</v>
      </c>
    </row>
    <row r="2" spans="1:11" ht="19.5" customHeight="1">
      <c r="A2" s="9" t="s">
        <v>323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 customHeight="1">
      <c r="A3" s="47"/>
      <c r="B3" s="47"/>
      <c r="C3" s="47"/>
      <c r="D3" s="47"/>
      <c r="E3" s="47"/>
      <c r="F3" s="47"/>
      <c r="G3" s="47"/>
      <c r="H3" s="47"/>
      <c r="I3" s="47"/>
      <c r="J3" s="22"/>
      <c r="K3" s="158" t="s">
        <v>295</v>
      </c>
    </row>
    <row r="4" spans="1:11" ht="22.5" customHeight="1">
      <c r="A4" s="252" t="s">
        <v>153</v>
      </c>
      <c r="B4" s="253"/>
      <c r="C4" s="42" t="s">
        <v>116</v>
      </c>
      <c r="D4" s="42" t="s">
        <v>9</v>
      </c>
      <c r="E4" s="39" t="s">
        <v>10</v>
      </c>
      <c r="F4" s="254" t="s">
        <v>153</v>
      </c>
      <c r="G4" s="252"/>
      <c r="H4" s="253"/>
      <c r="I4" s="42" t="s">
        <v>116</v>
      </c>
      <c r="J4" s="42" t="s">
        <v>9</v>
      </c>
      <c r="K4" s="39" t="s">
        <v>10</v>
      </c>
    </row>
    <row r="5" spans="1:11" ht="6" customHeight="1">
      <c r="A5" s="95"/>
      <c r="B5" s="30"/>
      <c r="C5" s="95"/>
      <c r="D5" s="95"/>
      <c r="E5" s="95"/>
      <c r="F5" s="255"/>
      <c r="G5" s="256"/>
      <c r="H5" s="30"/>
      <c r="I5" s="95"/>
      <c r="J5" s="95"/>
      <c r="K5" s="95"/>
    </row>
    <row r="6" spans="1:11" ht="13.5">
      <c r="A6" s="227" t="s">
        <v>114</v>
      </c>
      <c r="B6" s="271"/>
      <c r="C6" s="5">
        <f>SUM(D6:E6)</f>
        <v>174920</v>
      </c>
      <c r="D6" s="5">
        <f>SUM(D14,D22,D30,D38,D46,J6,J14,J22,J30,J38,J46,'4表'!D56,'4表'!D64,'4表'!D72,'4表'!D80,'4表'!D88,'4表'!D96,'4表'!J56,'4表'!J64,'4表'!J72,'4表'!J80,'4表'!J83)</f>
        <v>87475</v>
      </c>
      <c r="E6" s="5">
        <f>SUM(E14,E22,E30,E38,E46,K6,K14,K22,K30,K38,K46,'4表'!E56,'4表'!E64,'4表'!E72,'4表'!E80,'4表'!E88,'4表'!E96,'4表'!K56,'4表'!K64,'4表'!K72,'4表'!K80,'4表'!K83)</f>
        <v>87445</v>
      </c>
      <c r="F6" s="257" t="s">
        <v>297</v>
      </c>
      <c r="G6" s="258"/>
      <c r="H6" s="206" t="s">
        <v>117</v>
      </c>
      <c r="I6" s="5">
        <f>SUM(I8:I12)</f>
        <v>11881</v>
      </c>
      <c r="J6" s="1">
        <v>6380</v>
      </c>
      <c r="K6" s="1">
        <v>5501</v>
      </c>
    </row>
    <row r="7" spans="1:11" ht="3.75" customHeight="1">
      <c r="A7" s="71"/>
      <c r="B7" s="90"/>
      <c r="C7" s="29"/>
      <c r="D7" s="29"/>
      <c r="E7" s="29"/>
      <c r="F7" s="97"/>
      <c r="G7" s="95"/>
      <c r="H7" s="90"/>
      <c r="I7" s="29"/>
      <c r="J7" s="17"/>
      <c r="K7" s="17"/>
    </row>
    <row r="8" spans="1:11" ht="13.5">
      <c r="A8" s="71"/>
      <c r="B8" s="90"/>
      <c r="C8" s="29"/>
      <c r="D8" s="29"/>
      <c r="E8" s="29"/>
      <c r="F8" s="255">
        <v>25</v>
      </c>
      <c r="G8" s="256"/>
      <c r="H8" s="90"/>
      <c r="I8" s="29">
        <f>J8+K8</f>
        <v>2235</v>
      </c>
      <c r="J8" s="96">
        <v>1207</v>
      </c>
      <c r="K8" s="96">
        <v>1028</v>
      </c>
    </row>
    <row r="9" spans="1:11" ht="13.5">
      <c r="A9" s="71"/>
      <c r="B9" s="90"/>
      <c r="C9" s="29"/>
      <c r="D9" s="29"/>
      <c r="E9" s="29"/>
      <c r="F9" s="255">
        <v>26</v>
      </c>
      <c r="G9" s="256"/>
      <c r="H9" s="90"/>
      <c r="I9" s="29">
        <f>J9+K9</f>
        <v>2472</v>
      </c>
      <c r="J9" s="96">
        <v>1330</v>
      </c>
      <c r="K9" s="96">
        <v>1142</v>
      </c>
    </row>
    <row r="10" spans="1:11" ht="13.5">
      <c r="A10" s="71"/>
      <c r="B10" s="90"/>
      <c r="C10" s="29"/>
      <c r="D10" s="29"/>
      <c r="E10" s="29"/>
      <c r="F10" s="255">
        <v>27</v>
      </c>
      <c r="G10" s="256"/>
      <c r="H10" s="90"/>
      <c r="I10" s="29">
        <f>J10+K10</f>
        <v>2366</v>
      </c>
      <c r="J10" s="96">
        <v>1282</v>
      </c>
      <c r="K10" s="96">
        <v>1084</v>
      </c>
    </row>
    <row r="11" spans="1:11" ht="13.5">
      <c r="A11" s="71"/>
      <c r="B11" s="90"/>
      <c r="C11" s="29"/>
      <c r="D11" s="29"/>
      <c r="E11" s="29"/>
      <c r="F11" s="255">
        <v>28</v>
      </c>
      <c r="G11" s="256"/>
      <c r="H11" s="90"/>
      <c r="I11" s="29">
        <f>J11+K11</f>
        <v>2422</v>
      </c>
      <c r="J11" s="96">
        <v>1280</v>
      </c>
      <c r="K11" s="96">
        <v>1142</v>
      </c>
    </row>
    <row r="12" spans="1:11" ht="13.5">
      <c r="A12" s="71"/>
      <c r="B12" s="90"/>
      <c r="C12" s="29"/>
      <c r="D12" s="29"/>
      <c r="E12" s="29"/>
      <c r="F12" s="255">
        <v>29</v>
      </c>
      <c r="G12" s="256"/>
      <c r="H12" s="90"/>
      <c r="I12" s="29">
        <f>J12+K12</f>
        <v>2386</v>
      </c>
      <c r="J12" s="96">
        <v>1281</v>
      </c>
      <c r="K12" s="96">
        <v>1105</v>
      </c>
    </row>
    <row r="13" spans="1:11" ht="6" customHeight="1">
      <c r="A13" s="71"/>
      <c r="B13" s="90"/>
      <c r="C13" s="29"/>
      <c r="D13" s="29"/>
      <c r="E13" s="29"/>
      <c r="F13" s="97"/>
      <c r="G13" s="95"/>
      <c r="H13" s="90"/>
      <c r="I13" s="29"/>
      <c r="J13" s="29"/>
      <c r="K13" s="29"/>
    </row>
    <row r="14" spans="1:11" s="207" customFormat="1" ht="13.5">
      <c r="A14" s="3" t="s">
        <v>302</v>
      </c>
      <c r="B14" s="206" t="s">
        <v>117</v>
      </c>
      <c r="C14" s="5">
        <f>SUM(C16:C20)</f>
        <v>7437</v>
      </c>
      <c r="D14" s="5">
        <v>3768</v>
      </c>
      <c r="E14" s="5">
        <v>3669</v>
      </c>
      <c r="F14" s="257" t="s">
        <v>303</v>
      </c>
      <c r="G14" s="258"/>
      <c r="H14" s="205"/>
      <c r="I14" s="5">
        <f>SUM(I16:I20)</f>
        <v>13112</v>
      </c>
      <c r="J14" s="5">
        <v>6999</v>
      </c>
      <c r="K14" s="5">
        <v>6113</v>
      </c>
    </row>
    <row r="15" spans="1:11" ht="3.75" customHeight="1">
      <c r="A15" s="95"/>
      <c r="B15" s="90"/>
      <c r="C15" s="29"/>
      <c r="D15" s="29"/>
      <c r="E15" s="29"/>
      <c r="F15" s="97"/>
      <c r="G15" s="95"/>
      <c r="H15" s="90"/>
      <c r="I15" s="29"/>
      <c r="J15" s="29"/>
      <c r="K15" s="29"/>
    </row>
    <row r="16" spans="1:11" ht="13.5">
      <c r="A16" s="95">
        <v>0</v>
      </c>
      <c r="B16" s="90"/>
      <c r="C16" s="29">
        <f>D16+E16</f>
        <v>1438</v>
      </c>
      <c r="D16" s="96">
        <v>742</v>
      </c>
      <c r="E16" s="96">
        <v>696</v>
      </c>
      <c r="F16" s="255">
        <v>30</v>
      </c>
      <c r="G16" s="256"/>
      <c r="H16" s="90"/>
      <c r="I16" s="29">
        <f>J16+K16</f>
        <v>2411</v>
      </c>
      <c r="J16" s="96">
        <v>1289</v>
      </c>
      <c r="K16" s="96">
        <v>1122</v>
      </c>
    </row>
    <row r="17" spans="1:11" ht="13.5">
      <c r="A17" s="95">
        <v>1</v>
      </c>
      <c r="B17" s="90"/>
      <c r="C17" s="29">
        <f>D17+E17</f>
        <v>1454</v>
      </c>
      <c r="D17" s="96">
        <v>759</v>
      </c>
      <c r="E17" s="96">
        <v>695</v>
      </c>
      <c r="F17" s="255">
        <v>31</v>
      </c>
      <c r="G17" s="256"/>
      <c r="H17" s="90"/>
      <c r="I17" s="29">
        <f>J17+K17</f>
        <v>2657</v>
      </c>
      <c r="J17" s="96">
        <v>1452</v>
      </c>
      <c r="K17" s="96">
        <v>1205</v>
      </c>
    </row>
    <row r="18" spans="1:11" ht="13.5">
      <c r="A18" s="95">
        <v>2</v>
      </c>
      <c r="B18" s="90"/>
      <c r="C18" s="29">
        <f>D18+E18</f>
        <v>1534</v>
      </c>
      <c r="D18" s="96">
        <v>775</v>
      </c>
      <c r="E18" s="96">
        <v>759</v>
      </c>
      <c r="F18" s="255">
        <v>32</v>
      </c>
      <c r="G18" s="256"/>
      <c r="H18" s="90"/>
      <c r="I18" s="29">
        <f>J18+K18</f>
        <v>2648</v>
      </c>
      <c r="J18" s="96">
        <v>1408</v>
      </c>
      <c r="K18" s="96">
        <v>1240</v>
      </c>
    </row>
    <row r="19" spans="1:11" ht="13.5">
      <c r="A19" s="95">
        <v>3</v>
      </c>
      <c r="B19" s="90"/>
      <c r="C19" s="29">
        <f>D19+E19</f>
        <v>1484</v>
      </c>
      <c r="D19" s="96">
        <v>711</v>
      </c>
      <c r="E19" s="96">
        <v>773</v>
      </c>
      <c r="F19" s="255">
        <v>33</v>
      </c>
      <c r="G19" s="256"/>
      <c r="H19" s="90"/>
      <c r="I19" s="29">
        <f>J19+K19</f>
        <v>2638</v>
      </c>
      <c r="J19" s="96">
        <v>1365</v>
      </c>
      <c r="K19" s="96">
        <v>1273</v>
      </c>
    </row>
    <row r="20" spans="1:11" ht="13.5">
      <c r="A20" s="95">
        <v>4</v>
      </c>
      <c r="B20" s="90"/>
      <c r="C20" s="29">
        <f>D20+E20</f>
        <v>1527</v>
      </c>
      <c r="D20" s="96">
        <v>781</v>
      </c>
      <c r="E20" s="96">
        <v>746</v>
      </c>
      <c r="F20" s="255">
        <v>34</v>
      </c>
      <c r="G20" s="256"/>
      <c r="H20" s="90"/>
      <c r="I20" s="29">
        <f>J20+K20</f>
        <v>2758</v>
      </c>
      <c r="J20" s="96">
        <v>1485</v>
      </c>
      <c r="K20" s="96">
        <v>1273</v>
      </c>
    </row>
    <row r="21" spans="1:11" ht="6" customHeight="1">
      <c r="A21" s="95"/>
      <c r="B21" s="90"/>
      <c r="C21" s="29"/>
      <c r="D21" s="29"/>
      <c r="E21" s="29"/>
      <c r="F21" s="97"/>
      <c r="G21" s="95"/>
      <c r="H21" s="90"/>
      <c r="I21" s="29"/>
      <c r="J21" s="29"/>
      <c r="K21" s="29"/>
    </row>
    <row r="22" spans="1:11" s="207" customFormat="1" ht="13.5">
      <c r="A22" s="3" t="s">
        <v>304</v>
      </c>
      <c r="B22" s="205"/>
      <c r="C22" s="5">
        <f>SUM(C24:C28)</f>
        <v>7458</v>
      </c>
      <c r="D22" s="5">
        <v>3849</v>
      </c>
      <c r="E22" s="5">
        <v>3609</v>
      </c>
      <c r="F22" s="257" t="s">
        <v>305</v>
      </c>
      <c r="G22" s="258"/>
      <c r="H22" s="205"/>
      <c r="I22" s="5">
        <f>SUM(I24:I28)</f>
        <v>15232</v>
      </c>
      <c r="J22" s="5">
        <v>8053</v>
      </c>
      <c r="K22" s="5">
        <v>7179</v>
      </c>
    </row>
    <row r="23" spans="1:11" ht="3.75" customHeight="1">
      <c r="A23" s="95"/>
      <c r="B23" s="90"/>
      <c r="C23" s="29"/>
      <c r="D23" s="29"/>
      <c r="E23" s="29"/>
      <c r="F23" s="97"/>
      <c r="G23" s="95"/>
      <c r="H23" s="90"/>
      <c r="I23" s="29"/>
      <c r="J23" s="29"/>
      <c r="K23" s="29"/>
    </row>
    <row r="24" spans="1:11" ht="13.5">
      <c r="A24" s="95">
        <v>5</v>
      </c>
      <c r="B24" s="90"/>
      <c r="C24" s="29">
        <f>D24+E24</f>
        <v>1388</v>
      </c>
      <c r="D24" s="96">
        <v>727</v>
      </c>
      <c r="E24" s="96">
        <v>661</v>
      </c>
      <c r="F24" s="255">
        <v>35</v>
      </c>
      <c r="G24" s="256"/>
      <c r="H24" s="90"/>
      <c r="I24" s="29">
        <f>J24+K24</f>
        <v>2826</v>
      </c>
      <c r="J24" s="96">
        <v>1549</v>
      </c>
      <c r="K24" s="96">
        <v>1277</v>
      </c>
    </row>
    <row r="25" spans="1:11" ht="13.5">
      <c r="A25" s="95">
        <v>6</v>
      </c>
      <c r="B25" s="90"/>
      <c r="C25" s="29">
        <f>D25+E25</f>
        <v>1524</v>
      </c>
      <c r="D25" s="96">
        <v>785</v>
      </c>
      <c r="E25" s="96">
        <v>739</v>
      </c>
      <c r="F25" s="255">
        <v>36</v>
      </c>
      <c r="G25" s="256"/>
      <c r="H25" s="90"/>
      <c r="I25" s="29">
        <f>J25+K25</f>
        <v>2951</v>
      </c>
      <c r="J25" s="96">
        <v>1549</v>
      </c>
      <c r="K25" s="96">
        <v>1402</v>
      </c>
    </row>
    <row r="26" spans="1:11" ht="13.5">
      <c r="A26" s="95">
        <v>7</v>
      </c>
      <c r="B26" s="90"/>
      <c r="C26" s="29">
        <f>D26+E26</f>
        <v>1481</v>
      </c>
      <c r="D26" s="96">
        <v>772</v>
      </c>
      <c r="E26" s="96">
        <v>709</v>
      </c>
      <c r="F26" s="255">
        <v>37</v>
      </c>
      <c r="G26" s="256"/>
      <c r="H26" s="90"/>
      <c r="I26" s="29">
        <f>J26+K26</f>
        <v>3237</v>
      </c>
      <c r="J26" s="96">
        <v>1674</v>
      </c>
      <c r="K26" s="96">
        <v>1563</v>
      </c>
    </row>
    <row r="27" spans="1:11" ht="13.5">
      <c r="A27" s="95">
        <v>8</v>
      </c>
      <c r="B27" s="90"/>
      <c r="C27" s="29">
        <f>D27+E27</f>
        <v>1567</v>
      </c>
      <c r="D27" s="96">
        <v>786</v>
      </c>
      <c r="E27" s="96">
        <v>781</v>
      </c>
      <c r="F27" s="255">
        <v>38</v>
      </c>
      <c r="G27" s="256"/>
      <c r="H27" s="90"/>
      <c r="I27" s="29">
        <f>J27+K27</f>
        <v>3112</v>
      </c>
      <c r="J27" s="96">
        <v>1639</v>
      </c>
      <c r="K27" s="96">
        <v>1473</v>
      </c>
    </row>
    <row r="28" spans="1:11" ht="13.5">
      <c r="A28" s="95">
        <v>9</v>
      </c>
      <c r="B28" s="90"/>
      <c r="C28" s="29">
        <f>D28+E28</f>
        <v>1498</v>
      </c>
      <c r="D28" s="96">
        <v>779</v>
      </c>
      <c r="E28" s="96">
        <v>719</v>
      </c>
      <c r="F28" s="255">
        <v>39</v>
      </c>
      <c r="G28" s="256"/>
      <c r="H28" s="90"/>
      <c r="I28" s="29">
        <f>J28+K28</f>
        <v>3106</v>
      </c>
      <c r="J28" s="96">
        <v>1642</v>
      </c>
      <c r="K28" s="96">
        <v>1464</v>
      </c>
    </row>
    <row r="29" spans="1:11" ht="6" customHeight="1">
      <c r="A29" s="95"/>
      <c r="B29" s="90"/>
      <c r="C29" s="29"/>
      <c r="D29" s="29"/>
      <c r="E29" s="29"/>
      <c r="F29" s="97"/>
      <c r="G29" s="95"/>
      <c r="H29" s="90"/>
      <c r="I29" s="29"/>
      <c r="J29" s="29"/>
      <c r="K29" s="29"/>
    </row>
    <row r="30" spans="1:11" s="207" customFormat="1" ht="13.5">
      <c r="A30" s="3" t="s">
        <v>306</v>
      </c>
      <c r="B30" s="205"/>
      <c r="C30" s="5">
        <f>SUM(C32:C36)</f>
        <v>7660</v>
      </c>
      <c r="D30" s="5">
        <v>3891</v>
      </c>
      <c r="E30" s="5">
        <v>3769</v>
      </c>
      <c r="F30" s="257" t="s">
        <v>307</v>
      </c>
      <c r="G30" s="258"/>
      <c r="H30" s="205"/>
      <c r="I30" s="5">
        <f>SUM(I32:I36)</f>
        <v>13920</v>
      </c>
      <c r="J30" s="5">
        <v>7440</v>
      </c>
      <c r="K30" s="5">
        <v>6480</v>
      </c>
    </row>
    <row r="31" spans="1:11" ht="3.75" customHeight="1">
      <c r="A31" s="95"/>
      <c r="B31" s="90"/>
      <c r="C31" s="29"/>
      <c r="D31" s="29"/>
      <c r="E31" s="29"/>
      <c r="F31" s="97"/>
      <c r="G31" s="95"/>
      <c r="H31" s="90"/>
      <c r="I31" s="29"/>
      <c r="J31" s="29"/>
      <c r="K31" s="29"/>
    </row>
    <row r="32" spans="1:11" ht="13.5">
      <c r="A32" s="95">
        <v>10</v>
      </c>
      <c r="B32" s="90"/>
      <c r="C32" s="29">
        <f>D32+E32</f>
        <v>1555</v>
      </c>
      <c r="D32" s="96">
        <v>787</v>
      </c>
      <c r="E32" s="96">
        <v>768</v>
      </c>
      <c r="F32" s="255">
        <v>40</v>
      </c>
      <c r="G32" s="256"/>
      <c r="H32" s="90"/>
      <c r="I32" s="29">
        <f>J32+K32</f>
        <v>3124</v>
      </c>
      <c r="J32" s="96">
        <v>1640</v>
      </c>
      <c r="K32" s="96">
        <v>1484</v>
      </c>
    </row>
    <row r="33" spans="1:11" ht="13.5">
      <c r="A33" s="95">
        <v>11</v>
      </c>
      <c r="B33" s="90"/>
      <c r="C33" s="29">
        <f>D33+E33</f>
        <v>1481</v>
      </c>
      <c r="D33" s="96">
        <v>772</v>
      </c>
      <c r="E33" s="96">
        <v>709</v>
      </c>
      <c r="F33" s="255">
        <v>41</v>
      </c>
      <c r="G33" s="256"/>
      <c r="H33" s="90"/>
      <c r="I33" s="29">
        <f>J33+K33</f>
        <v>2976</v>
      </c>
      <c r="J33" s="96">
        <v>1600</v>
      </c>
      <c r="K33" s="96">
        <v>1376</v>
      </c>
    </row>
    <row r="34" spans="1:11" ht="13.5">
      <c r="A34" s="95">
        <v>12</v>
      </c>
      <c r="B34" s="90"/>
      <c r="C34" s="29">
        <f>D34+E34</f>
        <v>1516</v>
      </c>
      <c r="D34" s="96">
        <v>784</v>
      </c>
      <c r="E34" s="96">
        <v>732</v>
      </c>
      <c r="F34" s="255">
        <v>42</v>
      </c>
      <c r="G34" s="256"/>
      <c r="H34" s="90"/>
      <c r="I34" s="29">
        <f>J34+K34</f>
        <v>2811</v>
      </c>
      <c r="J34" s="96">
        <v>1487</v>
      </c>
      <c r="K34" s="96">
        <v>1324</v>
      </c>
    </row>
    <row r="35" spans="1:11" ht="13.5">
      <c r="A35" s="95">
        <v>13</v>
      </c>
      <c r="B35" s="90"/>
      <c r="C35" s="29">
        <f>D35+E35</f>
        <v>1556</v>
      </c>
      <c r="D35" s="96">
        <v>764</v>
      </c>
      <c r="E35" s="96">
        <v>792</v>
      </c>
      <c r="F35" s="255">
        <v>43</v>
      </c>
      <c r="G35" s="256"/>
      <c r="H35" s="90"/>
      <c r="I35" s="29">
        <f>J35+K35</f>
        <v>2935</v>
      </c>
      <c r="J35" s="96">
        <v>1581</v>
      </c>
      <c r="K35" s="96">
        <v>1354</v>
      </c>
    </row>
    <row r="36" spans="1:11" ht="13.5">
      <c r="A36" s="95">
        <v>14</v>
      </c>
      <c r="B36" s="90"/>
      <c r="C36" s="29">
        <f>D36+E36</f>
        <v>1552</v>
      </c>
      <c r="D36" s="96">
        <v>784</v>
      </c>
      <c r="E36" s="96">
        <v>768</v>
      </c>
      <c r="F36" s="255">
        <v>44</v>
      </c>
      <c r="G36" s="256"/>
      <c r="H36" s="90"/>
      <c r="I36" s="29">
        <f>J36+K36</f>
        <v>2074</v>
      </c>
      <c r="J36" s="96">
        <v>1132</v>
      </c>
      <c r="K36" s="96">
        <v>942</v>
      </c>
    </row>
    <row r="37" spans="1:11" ht="6" customHeight="1">
      <c r="A37" s="95"/>
      <c r="B37" s="90"/>
      <c r="C37" s="29"/>
      <c r="D37" s="29"/>
      <c r="E37" s="29"/>
      <c r="F37" s="97"/>
      <c r="G37" s="95"/>
      <c r="H37" s="90"/>
      <c r="I37" s="29"/>
      <c r="J37" s="29"/>
      <c r="K37" s="29"/>
    </row>
    <row r="38" spans="1:11" s="207" customFormat="1" ht="13.5" customHeight="1">
      <c r="A38" s="3" t="s">
        <v>298</v>
      </c>
      <c r="B38" s="205"/>
      <c r="C38" s="5">
        <f>SUM(C40:C44)</f>
        <v>7841</v>
      </c>
      <c r="D38" s="5">
        <v>3881</v>
      </c>
      <c r="E38" s="5">
        <v>3960</v>
      </c>
      <c r="F38" s="257" t="s">
        <v>299</v>
      </c>
      <c r="G38" s="258"/>
      <c r="H38" s="205"/>
      <c r="I38" s="5">
        <f>SUM(I40:I44)</f>
        <v>11915</v>
      </c>
      <c r="J38" s="5">
        <v>6400</v>
      </c>
      <c r="K38" s="5">
        <v>5515</v>
      </c>
    </row>
    <row r="39" spans="1:11" ht="3.75" customHeight="1">
      <c r="A39" s="95"/>
      <c r="B39" s="90"/>
      <c r="C39" s="29"/>
      <c r="D39" s="29"/>
      <c r="E39" s="29"/>
      <c r="F39" s="97"/>
      <c r="G39" s="95"/>
      <c r="H39" s="90"/>
      <c r="I39" s="29"/>
      <c r="J39" s="29"/>
      <c r="K39" s="29"/>
    </row>
    <row r="40" spans="1:11" ht="13.5">
      <c r="A40" s="95">
        <v>15</v>
      </c>
      <c r="B40" s="90"/>
      <c r="C40" s="29">
        <f>D40+E40</f>
        <v>1474</v>
      </c>
      <c r="D40" s="96">
        <v>766</v>
      </c>
      <c r="E40" s="96">
        <v>708</v>
      </c>
      <c r="F40" s="255">
        <v>45</v>
      </c>
      <c r="G40" s="256"/>
      <c r="H40" s="90"/>
      <c r="I40" s="29">
        <f>J40+K40</f>
        <v>2800</v>
      </c>
      <c r="J40" s="96">
        <v>1513</v>
      </c>
      <c r="K40" s="96">
        <v>1287</v>
      </c>
    </row>
    <row r="41" spans="1:11" ht="13.5">
      <c r="A41" s="95">
        <v>16</v>
      </c>
      <c r="B41" s="90"/>
      <c r="C41" s="29">
        <f>D41+E41</f>
        <v>1572</v>
      </c>
      <c r="D41" s="96">
        <v>789</v>
      </c>
      <c r="E41" s="96">
        <v>783</v>
      </c>
      <c r="F41" s="255">
        <v>46</v>
      </c>
      <c r="G41" s="256"/>
      <c r="H41" s="90"/>
      <c r="I41" s="29">
        <f>J41+K41</f>
        <v>2530</v>
      </c>
      <c r="J41" s="96">
        <v>1366</v>
      </c>
      <c r="K41" s="96">
        <v>1164</v>
      </c>
    </row>
    <row r="42" spans="1:11" ht="13.5">
      <c r="A42" s="95">
        <v>17</v>
      </c>
      <c r="B42" s="90"/>
      <c r="C42" s="29">
        <f>D42+E42</f>
        <v>1414</v>
      </c>
      <c r="D42" s="96">
        <v>725</v>
      </c>
      <c r="E42" s="96">
        <v>689</v>
      </c>
      <c r="F42" s="255">
        <v>47</v>
      </c>
      <c r="G42" s="256"/>
      <c r="H42" s="90"/>
      <c r="I42" s="29">
        <f>J42+K42</f>
        <v>2362</v>
      </c>
      <c r="J42" s="96">
        <v>1249</v>
      </c>
      <c r="K42" s="96">
        <v>1113</v>
      </c>
    </row>
    <row r="43" spans="1:11" ht="13.5">
      <c r="A43" s="95">
        <v>18</v>
      </c>
      <c r="B43" s="90"/>
      <c r="C43" s="29">
        <f>D43+E43</f>
        <v>1574</v>
      </c>
      <c r="D43" s="96">
        <v>770</v>
      </c>
      <c r="E43" s="96">
        <v>804</v>
      </c>
      <c r="F43" s="255">
        <v>48</v>
      </c>
      <c r="G43" s="256"/>
      <c r="H43" s="90"/>
      <c r="I43" s="29">
        <f>J43+K43</f>
        <v>2169</v>
      </c>
      <c r="J43" s="96">
        <v>1227</v>
      </c>
      <c r="K43" s="96">
        <v>942</v>
      </c>
    </row>
    <row r="44" spans="1:11" ht="13.5">
      <c r="A44" s="95">
        <v>19</v>
      </c>
      <c r="B44" s="90"/>
      <c r="C44" s="29">
        <f>D44+E44</f>
        <v>1807</v>
      </c>
      <c r="D44" s="96">
        <v>831</v>
      </c>
      <c r="E44" s="96">
        <v>976</v>
      </c>
      <c r="F44" s="255">
        <v>49</v>
      </c>
      <c r="G44" s="256"/>
      <c r="H44" s="90"/>
      <c r="I44" s="29">
        <f>J44+K44</f>
        <v>2054</v>
      </c>
      <c r="J44" s="96">
        <v>1045</v>
      </c>
      <c r="K44" s="96">
        <v>1009</v>
      </c>
    </row>
    <row r="45" spans="1:11" ht="6" customHeight="1">
      <c r="A45" s="95"/>
      <c r="B45" s="90"/>
      <c r="C45" s="29"/>
      <c r="D45" s="29"/>
      <c r="E45" s="29"/>
      <c r="F45" s="97"/>
      <c r="G45" s="95"/>
      <c r="H45" s="90"/>
      <c r="I45" s="29"/>
      <c r="J45" s="29"/>
      <c r="K45" s="29"/>
    </row>
    <row r="46" spans="1:11" s="207" customFormat="1" ht="13.5">
      <c r="A46" s="3" t="s">
        <v>300</v>
      </c>
      <c r="B46" s="205"/>
      <c r="C46" s="5">
        <f>SUM(C48:C52)</f>
        <v>10204</v>
      </c>
      <c r="D46" s="5">
        <v>5025</v>
      </c>
      <c r="E46" s="5">
        <v>5179</v>
      </c>
      <c r="F46" s="257" t="s">
        <v>301</v>
      </c>
      <c r="G46" s="258"/>
      <c r="H46" s="205"/>
      <c r="I46" s="5">
        <f>SUM(I48:I52)</f>
        <v>9474</v>
      </c>
      <c r="J46" s="5">
        <v>4926</v>
      </c>
      <c r="K46" s="5">
        <v>4548</v>
      </c>
    </row>
    <row r="47" spans="1:11" ht="3.75" customHeight="1">
      <c r="A47" s="95"/>
      <c r="B47" s="90"/>
      <c r="C47" s="29"/>
      <c r="D47" s="29"/>
      <c r="E47" s="29"/>
      <c r="F47" s="97"/>
      <c r="G47" s="95"/>
      <c r="H47" s="90"/>
      <c r="I47" s="29"/>
      <c r="J47" s="29"/>
      <c r="K47" s="29"/>
    </row>
    <row r="48" spans="1:11" ht="13.5">
      <c r="A48" s="95">
        <v>20</v>
      </c>
      <c r="B48" s="90"/>
      <c r="C48" s="29">
        <f>D48+E48</f>
        <v>1822</v>
      </c>
      <c r="D48" s="96">
        <v>869</v>
      </c>
      <c r="E48" s="96">
        <v>953</v>
      </c>
      <c r="F48" s="255">
        <v>50</v>
      </c>
      <c r="G48" s="256"/>
      <c r="H48" s="90"/>
      <c r="I48" s="29">
        <f>J48+K48</f>
        <v>2000</v>
      </c>
      <c r="J48" s="96">
        <v>1050</v>
      </c>
      <c r="K48" s="96">
        <v>950</v>
      </c>
    </row>
    <row r="49" spans="1:11" ht="13.5">
      <c r="A49" s="95">
        <v>21</v>
      </c>
      <c r="B49" s="90"/>
      <c r="C49" s="29">
        <f>D49+E49</f>
        <v>1921</v>
      </c>
      <c r="D49" s="96">
        <v>951</v>
      </c>
      <c r="E49" s="96">
        <v>970</v>
      </c>
      <c r="F49" s="255">
        <v>51</v>
      </c>
      <c r="G49" s="256"/>
      <c r="H49" s="90"/>
      <c r="I49" s="29">
        <f>J49+K49</f>
        <v>1896</v>
      </c>
      <c r="J49" s="96">
        <v>999</v>
      </c>
      <c r="K49" s="96">
        <v>897</v>
      </c>
    </row>
    <row r="50" spans="1:11" ht="13.5">
      <c r="A50" s="95">
        <v>22</v>
      </c>
      <c r="B50" s="90"/>
      <c r="C50" s="29">
        <f>D50+E50</f>
        <v>1982</v>
      </c>
      <c r="D50" s="96">
        <v>931</v>
      </c>
      <c r="E50" s="96">
        <v>1051</v>
      </c>
      <c r="F50" s="255">
        <v>52</v>
      </c>
      <c r="G50" s="256"/>
      <c r="H50" s="90"/>
      <c r="I50" s="29">
        <f>J50+K50</f>
        <v>1922</v>
      </c>
      <c r="J50" s="96">
        <v>1009</v>
      </c>
      <c r="K50" s="96">
        <v>913</v>
      </c>
    </row>
    <row r="51" spans="1:11" ht="13.5">
      <c r="A51" s="95">
        <v>23</v>
      </c>
      <c r="B51" s="90"/>
      <c r="C51" s="29">
        <f>D51+E51</f>
        <v>2191</v>
      </c>
      <c r="D51" s="96">
        <v>1094</v>
      </c>
      <c r="E51" s="96">
        <v>1097</v>
      </c>
      <c r="F51" s="255">
        <v>53</v>
      </c>
      <c r="G51" s="256"/>
      <c r="H51" s="90"/>
      <c r="I51" s="29">
        <f>J51+K51</f>
        <v>1874</v>
      </c>
      <c r="J51" s="96">
        <v>939</v>
      </c>
      <c r="K51" s="96">
        <v>935</v>
      </c>
    </row>
    <row r="52" spans="1:11" ht="13.5">
      <c r="A52" s="95">
        <v>24</v>
      </c>
      <c r="B52" s="90"/>
      <c r="C52" s="29">
        <f>D52+E52</f>
        <v>2288</v>
      </c>
      <c r="D52" s="96">
        <v>1180</v>
      </c>
      <c r="E52" s="96">
        <v>1108</v>
      </c>
      <c r="F52" s="255">
        <v>54</v>
      </c>
      <c r="G52" s="256"/>
      <c r="H52" s="90"/>
      <c r="I52" s="29">
        <f>J52+K52</f>
        <v>1782</v>
      </c>
      <c r="J52" s="96">
        <v>929</v>
      </c>
      <c r="K52" s="96">
        <v>853</v>
      </c>
    </row>
    <row r="53" spans="1:11" ht="3.75" customHeight="1">
      <c r="A53" s="13"/>
      <c r="B53" s="11"/>
      <c r="C53" s="11"/>
      <c r="D53" s="11"/>
      <c r="E53" s="11"/>
      <c r="F53" s="11"/>
      <c r="G53" s="11"/>
      <c r="H53" s="11"/>
      <c r="I53" s="11"/>
      <c r="J53" s="105"/>
      <c r="K53" s="105"/>
    </row>
    <row r="54" spans="1:11" ht="22.5" customHeight="1">
      <c r="A54" s="252" t="s">
        <v>153</v>
      </c>
      <c r="B54" s="253"/>
      <c r="C54" s="44" t="s">
        <v>116</v>
      </c>
      <c r="D54" s="42" t="s">
        <v>9</v>
      </c>
      <c r="E54" s="39" t="s">
        <v>10</v>
      </c>
      <c r="F54" s="254" t="s">
        <v>153</v>
      </c>
      <c r="G54" s="252"/>
      <c r="H54" s="253"/>
      <c r="I54" s="44" t="s">
        <v>116</v>
      </c>
      <c r="J54" s="42" t="s">
        <v>9</v>
      </c>
      <c r="K54" s="39" t="s">
        <v>10</v>
      </c>
    </row>
    <row r="55" spans="1:11" ht="6" customHeight="1">
      <c r="A55" s="101"/>
      <c r="B55" s="111"/>
      <c r="C55" s="101"/>
      <c r="D55" s="101"/>
      <c r="E55" s="101"/>
      <c r="F55" s="110"/>
      <c r="G55" s="101"/>
      <c r="H55" s="111"/>
      <c r="I55" s="101"/>
      <c r="J55" s="101"/>
      <c r="K55" s="101"/>
    </row>
    <row r="56" spans="1:11" s="207" customFormat="1" ht="13.5">
      <c r="A56" s="3" t="s">
        <v>311</v>
      </c>
      <c r="B56" s="206" t="s">
        <v>117</v>
      </c>
      <c r="C56" s="201">
        <f>SUM(C58:C62)</f>
        <v>10304</v>
      </c>
      <c r="D56" s="201">
        <v>5202</v>
      </c>
      <c r="E56" s="201">
        <v>5102</v>
      </c>
      <c r="F56" s="257" t="s">
        <v>312</v>
      </c>
      <c r="G56" s="258"/>
      <c r="H56" s="206" t="s">
        <v>117</v>
      </c>
      <c r="I56" s="12">
        <f>SUM(I58:I62)</f>
        <v>2374</v>
      </c>
      <c r="J56" s="12">
        <v>700</v>
      </c>
      <c r="K56" s="12">
        <v>1674</v>
      </c>
    </row>
    <row r="57" spans="1:11" ht="3.75" customHeight="1">
      <c r="A57" s="95"/>
      <c r="B57" s="90"/>
      <c r="C57" s="73"/>
      <c r="D57" s="73"/>
      <c r="E57" s="73"/>
      <c r="F57" s="97"/>
      <c r="G57" s="95"/>
      <c r="H57" s="90"/>
      <c r="I57" s="74"/>
      <c r="J57" s="74"/>
      <c r="K57" s="74"/>
    </row>
    <row r="58" spans="1:11" ht="13.5">
      <c r="A58" s="95">
        <v>55</v>
      </c>
      <c r="B58" s="90"/>
      <c r="C58" s="73">
        <f>D58+E58</f>
        <v>1938</v>
      </c>
      <c r="D58" s="96">
        <v>976</v>
      </c>
      <c r="E58" s="96">
        <v>962</v>
      </c>
      <c r="F58" s="255">
        <v>85</v>
      </c>
      <c r="G58" s="256"/>
      <c r="H58" s="90"/>
      <c r="I58" s="74">
        <f>J58+K58</f>
        <v>651</v>
      </c>
      <c r="J58" s="96">
        <v>225</v>
      </c>
      <c r="K58" s="96">
        <v>426</v>
      </c>
    </row>
    <row r="59" spans="1:11" ht="13.5">
      <c r="A59" s="95">
        <v>56</v>
      </c>
      <c r="B59" s="90"/>
      <c r="C59" s="73">
        <f>D59+E59</f>
        <v>1999</v>
      </c>
      <c r="D59" s="96">
        <v>1009</v>
      </c>
      <c r="E59" s="96">
        <v>990</v>
      </c>
      <c r="F59" s="255">
        <v>86</v>
      </c>
      <c r="G59" s="256"/>
      <c r="H59" s="90"/>
      <c r="I59" s="74">
        <f>J59+K59</f>
        <v>510</v>
      </c>
      <c r="J59" s="96">
        <v>156</v>
      </c>
      <c r="K59" s="96">
        <v>354</v>
      </c>
    </row>
    <row r="60" spans="1:11" ht="13.5">
      <c r="A60" s="95">
        <v>57</v>
      </c>
      <c r="B60" s="90"/>
      <c r="C60" s="73">
        <f>D60+E60</f>
        <v>1960</v>
      </c>
      <c r="D60" s="96">
        <v>1019</v>
      </c>
      <c r="E60" s="96">
        <v>941</v>
      </c>
      <c r="F60" s="255">
        <v>87</v>
      </c>
      <c r="G60" s="256"/>
      <c r="H60" s="90"/>
      <c r="I60" s="74">
        <f>J60+K60</f>
        <v>468</v>
      </c>
      <c r="J60" s="96">
        <v>136</v>
      </c>
      <c r="K60" s="96">
        <v>332</v>
      </c>
    </row>
    <row r="61" spans="1:11" ht="13.5">
      <c r="A61" s="95">
        <v>58</v>
      </c>
      <c r="B61" s="90"/>
      <c r="C61" s="73">
        <f>D61+E61</f>
        <v>2132</v>
      </c>
      <c r="D61" s="96">
        <v>1059</v>
      </c>
      <c r="E61" s="96">
        <v>1073</v>
      </c>
      <c r="F61" s="255">
        <v>88</v>
      </c>
      <c r="G61" s="256"/>
      <c r="H61" s="90"/>
      <c r="I61" s="74">
        <f>J61+K61</f>
        <v>360</v>
      </c>
      <c r="J61" s="96">
        <v>86</v>
      </c>
      <c r="K61" s="96">
        <v>274</v>
      </c>
    </row>
    <row r="62" spans="1:11" ht="13.5">
      <c r="A62" s="95">
        <v>59</v>
      </c>
      <c r="B62" s="90"/>
      <c r="C62" s="73">
        <f>D62+E62</f>
        <v>2275</v>
      </c>
      <c r="D62" s="96">
        <v>1139</v>
      </c>
      <c r="E62" s="96">
        <v>1136</v>
      </c>
      <c r="F62" s="255">
        <v>89</v>
      </c>
      <c r="G62" s="256"/>
      <c r="H62" s="90"/>
      <c r="I62" s="74">
        <f>J62+K62</f>
        <v>385</v>
      </c>
      <c r="J62" s="96">
        <v>97</v>
      </c>
      <c r="K62" s="96">
        <v>288</v>
      </c>
    </row>
    <row r="63" spans="1:11" ht="6" customHeight="1">
      <c r="A63" s="95"/>
      <c r="B63" s="90"/>
      <c r="C63" s="73"/>
      <c r="D63" s="73"/>
      <c r="E63" s="73"/>
      <c r="F63" s="97"/>
      <c r="G63" s="95"/>
      <c r="H63" s="90"/>
      <c r="I63" s="74"/>
      <c r="J63" s="73"/>
      <c r="K63" s="73"/>
    </row>
    <row r="64" spans="1:11" s="207" customFormat="1" ht="13.5">
      <c r="A64" s="3" t="s">
        <v>313</v>
      </c>
      <c r="B64" s="205"/>
      <c r="C64" s="201">
        <f>SUM(C66:C70)</f>
        <v>12870</v>
      </c>
      <c r="D64" s="201">
        <v>6325</v>
      </c>
      <c r="E64" s="201">
        <v>6545</v>
      </c>
      <c r="F64" s="257" t="s">
        <v>314</v>
      </c>
      <c r="G64" s="258"/>
      <c r="H64" s="205"/>
      <c r="I64" s="12">
        <f>SUM(I66:I70)</f>
        <v>1072</v>
      </c>
      <c r="J64" s="201">
        <v>218</v>
      </c>
      <c r="K64" s="201">
        <v>854</v>
      </c>
    </row>
    <row r="65" spans="1:11" ht="3.75" customHeight="1">
      <c r="A65" s="95"/>
      <c r="B65" s="90"/>
      <c r="C65" s="73"/>
      <c r="D65" s="73"/>
      <c r="E65" s="73"/>
      <c r="F65" s="97"/>
      <c r="G65" s="95"/>
      <c r="H65" s="90"/>
      <c r="I65" s="74"/>
      <c r="J65" s="73"/>
      <c r="K65" s="73"/>
    </row>
    <row r="66" spans="1:11" ht="13.5">
      <c r="A66" s="95">
        <v>60</v>
      </c>
      <c r="B66" s="90"/>
      <c r="C66" s="73">
        <f>D66+E66</f>
        <v>2501</v>
      </c>
      <c r="D66" s="96">
        <v>1250</v>
      </c>
      <c r="E66" s="96">
        <v>1251</v>
      </c>
      <c r="F66" s="255">
        <v>90</v>
      </c>
      <c r="G66" s="256"/>
      <c r="H66" s="90"/>
      <c r="I66" s="74">
        <f>J66+K66</f>
        <v>322</v>
      </c>
      <c r="J66" s="96">
        <v>76</v>
      </c>
      <c r="K66" s="96">
        <v>246</v>
      </c>
    </row>
    <row r="67" spans="1:11" ht="13.5">
      <c r="A67" s="95">
        <v>61</v>
      </c>
      <c r="B67" s="90"/>
      <c r="C67" s="73">
        <f>D67+E67</f>
        <v>2686</v>
      </c>
      <c r="D67" s="96">
        <v>1355</v>
      </c>
      <c r="E67" s="96">
        <v>1331</v>
      </c>
      <c r="F67" s="255">
        <v>91</v>
      </c>
      <c r="G67" s="256"/>
      <c r="H67" s="90"/>
      <c r="I67" s="74">
        <f>J67+K67</f>
        <v>276</v>
      </c>
      <c r="J67" s="96">
        <v>61</v>
      </c>
      <c r="K67" s="96">
        <v>215</v>
      </c>
    </row>
    <row r="68" spans="1:11" ht="13.5">
      <c r="A68" s="95">
        <v>62</v>
      </c>
      <c r="B68" s="90"/>
      <c r="C68" s="73">
        <f>D68+E68</f>
        <v>2779</v>
      </c>
      <c r="D68" s="96">
        <v>1294</v>
      </c>
      <c r="E68" s="96">
        <v>1485</v>
      </c>
      <c r="F68" s="255">
        <v>92</v>
      </c>
      <c r="G68" s="256"/>
      <c r="H68" s="90"/>
      <c r="I68" s="74">
        <f>J68+K68</f>
        <v>191</v>
      </c>
      <c r="J68" s="96">
        <v>36</v>
      </c>
      <c r="K68" s="96">
        <v>155</v>
      </c>
    </row>
    <row r="69" spans="1:11" ht="13.5">
      <c r="A69" s="95">
        <v>63</v>
      </c>
      <c r="B69" s="90"/>
      <c r="C69" s="73">
        <f>D69+E69</f>
        <v>2864</v>
      </c>
      <c r="D69" s="96">
        <v>1449</v>
      </c>
      <c r="E69" s="96">
        <v>1415</v>
      </c>
      <c r="F69" s="255">
        <v>93</v>
      </c>
      <c r="G69" s="256"/>
      <c r="H69" s="90"/>
      <c r="I69" s="74">
        <f>J69+K69</f>
        <v>170</v>
      </c>
      <c r="J69" s="96">
        <v>29</v>
      </c>
      <c r="K69" s="96">
        <v>141</v>
      </c>
    </row>
    <row r="70" spans="1:11" ht="13.5">
      <c r="A70" s="95">
        <v>64</v>
      </c>
      <c r="B70" s="90"/>
      <c r="C70" s="73">
        <f>D70+E70</f>
        <v>2040</v>
      </c>
      <c r="D70" s="96">
        <v>977</v>
      </c>
      <c r="E70" s="96">
        <v>1063</v>
      </c>
      <c r="F70" s="255">
        <v>94</v>
      </c>
      <c r="G70" s="256"/>
      <c r="H70" s="90"/>
      <c r="I70" s="74">
        <f>J70+K70</f>
        <v>113</v>
      </c>
      <c r="J70" s="96">
        <v>16</v>
      </c>
      <c r="K70" s="96">
        <v>97</v>
      </c>
    </row>
    <row r="71" spans="1:11" ht="6" customHeight="1">
      <c r="A71" s="95"/>
      <c r="B71" s="90"/>
      <c r="C71" s="73"/>
      <c r="D71" s="73"/>
      <c r="E71" s="73"/>
      <c r="F71" s="97"/>
      <c r="G71" s="95"/>
      <c r="H71" s="90"/>
      <c r="I71" s="74"/>
      <c r="J71" s="73"/>
      <c r="K71" s="73"/>
    </row>
    <row r="72" spans="1:11" s="207" customFormat="1" ht="13.5">
      <c r="A72" s="3" t="s">
        <v>308</v>
      </c>
      <c r="B72" s="205"/>
      <c r="C72" s="201">
        <f>SUM(C74:C78)</f>
        <v>10872</v>
      </c>
      <c r="D72" s="201">
        <v>5190</v>
      </c>
      <c r="E72" s="201">
        <v>5682</v>
      </c>
      <c r="F72" s="257" t="s">
        <v>309</v>
      </c>
      <c r="G72" s="258"/>
      <c r="H72" s="205"/>
      <c r="I72" s="12">
        <f>SUM(I74:I78)</f>
        <v>320</v>
      </c>
      <c r="J72" s="201">
        <v>67</v>
      </c>
      <c r="K72" s="201">
        <v>253</v>
      </c>
    </row>
    <row r="73" spans="1:11" ht="3.75" customHeight="1">
      <c r="A73" s="95"/>
      <c r="B73" s="90"/>
      <c r="C73" s="73"/>
      <c r="D73" s="73"/>
      <c r="E73" s="73"/>
      <c r="F73" s="97"/>
      <c r="G73" s="95"/>
      <c r="H73" s="90"/>
      <c r="I73" s="74"/>
      <c r="J73" s="73"/>
      <c r="K73" s="73"/>
    </row>
    <row r="74" spans="1:11" ht="13.5">
      <c r="A74" s="95">
        <v>65</v>
      </c>
      <c r="B74" s="90"/>
      <c r="C74" s="73">
        <f>D74+E74</f>
        <v>1833</v>
      </c>
      <c r="D74" s="96">
        <v>869</v>
      </c>
      <c r="E74" s="96">
        <v>964</v>
      </c>
      <c r="F74" s="255">
        <v>95</v>
      </c>
      <c r="G74" s="256"/>
      <c r="H74" s="90"/>
      <c r="I74" s="74">
        <f>J74+K74</f>
        <v>110</v>
      </c>
      <c r="J74" s="96">
        <v>24</v>
      </c>
      <c r="K74" s="96">
        <v>86</v>
      </c>
    </row>
    <row r="75" spans="1:11" ht="13.5">
      <c r="A75" s="95">
        <v>66</v>
      </c>
      <c r="B75" s="90"/>
      <c r="C75" s="73">
        <f>D75+E75</f>
        <v>2213</v>
      </c>
      <c r="D75" s="96">
        <v>1049</v>
      </c>
      <c r="E75" s="96">
        <v>1164</v>
      </c>
      <c r="F75" s="255">
        <v>96</v>
      </c>
      <c r="G75" s="256"/>
      <c r="H75" s="90"/>
      <c r="I75" s="74">
        <f>J75+K75</f>
        <v>79</v>
      </c>
      <c r="J75" s="96">
        <v>17</v>
      </c>
      <c r="K75" s="96">
        <v>62</v>
      </c>
    </row>
    <row r="76" spans="1:11" ht="13.5">
      <c r="A76" s="95">
        <v>67</v>
      </c>
      <c r="B76" s="90"/>
      <c r="C76" s="73">
        <f>D76+E76</f>
        <v>2373</v>
      </c>
      <c r="D76" s="96">
        <v>1110</v>
      </c>
      <c r="E76" s="96">
        <v>1263</v>
      </c>
      <c r="F76" s="255">
        <v>97</v>
      </c>
      <c r="G76" s="256"/>
      <c r="H76" s="90"/>
      <c r="I76" s="74">
        <f>J76+K76</f>
        <v>56</v>
      </c>
      <c r="J76" s="96">
        <v>7</v>
      </c>
      <c r="K76" s="96">
        <v>49</v>
      </c>
    </row>
    <row r="77" spans="1:11" ht="13.5">
      <c r="A77" s="95">
        <v>68</v>
      </c>
      <c r="B77" s="90"/>
      <c r="C77" s="73">
        <f>D77+E77</f>
        <v>2224</v>
      </c>
      <c r="D77" s="96">
        <v>1103</v>
      </c>
      <c r="E77" s="96">
        <v>1121</v>
      </c>
      <c r="F77" s="255">
        <v>98</v>
      </c>
      <c r="G77" s="256"/>
      <c r="H77" s="90"/>
      <c r="I77" s="74">
        <f>J77+K77</f>
        <v>44</v>
      </c>
      <c r="J77" s="96">
        <v>12</v>
      </c>
      <c r="K77" s="96">
        <v>32</v>
      </c>
    </row>
    <row r="78" spans="1:11" ht="13.5">
      <c r="A78" s="95">
        <v>69</v>
      </c>
      <c r="B78" s="90"/>
      <c r="C78" s="73">
        <f>D78+E78</f>
        <v>2229</v>
      </c>
      <c r="D78" s="96">
        <v>1059</v>
      </c>
      <c r="E78" s="96">
        <v>1170</v>
      </c>
      <c r="F78" s="255">
        <v>99</v>
      </c>
      <c r="G78" s="256"/>
      <c r="H78" s="90"/>
      <c r="I78" s="74">
        <f>J78+K78</f>
        <v>31</v>
      </c>
      <c r="J78" s="96">
        <v>7</v>
      </c>
      <c r="K78" s="96">
        <v>24</v>
      </c>
    </row>
    <row r="79" spans="1:11" ht="6" customHeight="1">
      <c r="A79" s="95"/>
      <c r="B79" s="90"/>
      <c r="C79" s="73"/>
      <c r="D79" s="73"/>
      <c r="E79" s="73"/>
      <c r="F79" s="89"/>
      <c r="G79" s="71"/>
      <c r="H79" s="90"/>
      <c r="I79" s="74"/>
      <c r="J79" s="73"/>
      <c r="K79" s="73"/>
    </row>
    <row r="80" spans="1:11" s="207" customFormat="1" ht="13.5">
      <c r="A80" s="3" t="s">
        <v>310</v>
      </c>
      <c r="B80" s="205"/>
      <c r="C80" s="201">
        <f>SUM(C82:C86)</f>
        <v>9071</v>
      </c>
      <c r="D80" s="201">
        <v>4084</v>
      </c>
      <c r="E80" s="201">
        <v>4987</v>
      </c>
      <c r="F80" s="257" t="s">
        <v>154</v>
      </c>
      <c r="G80" s="258"/>
      <c r="H80" s="263"/>
      <c r="I80" s="12">
        <f>J80+K80</f>
        <v>50</v>
      </c>
      <c r="J80" s="201">
        <v>6</v>
      </c>
      <c r="K80" s="201">
        <v>44</v>
      </c>
    </row>
    <row r="81" spans="1:11" ht="3.75" customHeight="1">
      <c r="A81" s="95"/>
      <c r="B81" s="90"/>
      <c r="C81" s="73"/>
      <c r="D81" s="73"/>
      <c r="E81" s="73"/>
      <c r="F81" s="97"/>
      <c r="G81" s="95"/>
      <c r="H81" s="30"/>
      <c r="I81" s="74"/>
      <c r="J81" s="73"/>
      <c r="K81" s="73"/>
    </row>
    <row r="82" spans="1:11" ht="13.5">
      <c r="A82" s="95">
        <v>70</v>
      </c>
      <c r="B82" s="90"/>
      <c r="C82" s="73">
        <f>D82+E82</f>
        <v>1998</v>
      </c>
      <c r="D82" s="96">
        <v>912</v>
      </c>
      <c r="E82" s="96">
        <v>1086</v>
      </c>
      <c r="F82" s="255"/>
      <c r="G82" s="256"/>
      <c r="H82" s="262"/>
      <c r="I82" s="74"/>
      <c r="J82" s="74"/>
      <c r="K82" s="74"/>
    </row>
    <row r="83" spans="1:11" ht="13.5">
      <c r="A83" s="95">
        <v>71</v>
      </c>
      <c r="B83" s="90"/>
      <c r="C83" s="73">
        <f>D83+E83</f>
        <v>1854</v>
      </c>
      <c r="D83" s="96">
        <v>825</v>
      </c>
      <c r="E83" s="96">
        <v>1029</v>
      </c>
      <c r="F83" s="238" t="s">
        <v>122</v>
      </c>
      <c r="G83" s="239"/>
      <c r="H83" s="240"/>
      <c r="I83" s="74" t="s">
        <v>244</v>
      </c>
      <c r="J83" s="74" t="s">
        <v>244</v>
      </c>
      <c r="K83" s="74" t="s">
        <v>244</v>
      </c>
    </row>
    <row r="84" spans="1:11" ht="13.5">
      <c r="A84" s="95">
        <v>72</v>
      </c>
      <c r="B84" s="90"/>
      <c r="C84" s="73">
        <f>D84+E84</f>
        <v>1695</v>
      </c>
      <c r="D84" s="96">
        <v>765</v>
      </c>
      <c r="E84" s="96">
        <v>930</v>
      </c>
      <c r="F84" s="241" t="s">
        <v>118</v>
      </c>
      <c r="G84" s="242"/>
      <c r="H84" s="243"/>
      <c r="I84" s="102"/>
      <c r="J84" s="102"/>
      <c r="K84" s="102"/>
    </row>
    <row r="85" spans="1:11" ht="13.5" customHeight="1">
      <c r="A85" s="95">
        <v>73</v>
      </c>
      <c r="B85" s="90"/>
      <c r="C85" s="73">
        <f>D85+E85</f>
        <v>1804</v>
      </c>
      <c r="D85" s="96">
        <v>792</v>
      </c>
      <c r="E85" s="96">
        <v>1012</v>
      </c>
      <c r="F85" s="249" t="s">
        <v>220</v>
      </c>
      <c r="G85" s="260"/>
      <c r="H85" s="261"/>
      <c r="I85" s="74">
        <f>J85+K85</f>
        <v>22555</v>
      </c>
      <c r="J85" s="74">
        <f>SUM('4表'!D14,'4表'!D22,'4表'!D30)</f>
        <v>11508</v>
      </c>
      <c r="K85" s="74">
        <f>SUM('4表'!E14,'4表'!E22,'4表'!E30)</f>
        <v>11047</v>
      </c>
    </row>
    <row r="86" spans="1:11" ht="13.5" customHeight="1">
      <c r="A86" s="95">
        <v>74</v>
      </c>
      <c r="B86" s="90"/>
      <c r="C86" s="73">
        <f>D86+E86</f>
        <v>1720</v>
      </c>
      <c r="D86" s="96">
        <v>790</v>
      </c>
      <c r="E86" s="96">
        <v>930</v>
      </c>
      <c r="F86" s="249" t="s">
        <v>221</v>
      </c>
      <c r="G86" s="260"/>
      <c r="H86" s="261"/>
      <c r="I86" s="246">
        <f>J86+K86</f>
        <v>116753</v>
      </c>
      <c r="J86" s="264">
        <f>SUM('4表'!D38,'4表'!D46,'4表'!J6,'4表'!J14,'4表'!J22,'4表'!J30,'4表'!J38,'4表'!J46,D56,D64)</f>
        <v>60631</v>
      </c>
      <c r="K86" s="264">
        <f>SUM('4表'!E38,'4表'!E46,'4表'!K6,'4表'!K14,'4表'!K22,'4表'!K30,'4表'!K38,'4表'!K46,E56,E64)</f>
        <v>56122</v>
      </c>
    </row>
    <row r="87" spans="1:11" ht="6" customHeight="1">
      <c r="A87" s="95"/>
      <c r="B87" s="90"/>
      <c r="C87" s="73"/>
      <c r="D87" s="73"/>
      <c r="E87" s="73"/>
      <c r="F87" s="249"/>
      <c r="G87" s="260"/>
      <c r="H87" s="261"/>
      <c r="I87" s="246"/>
      <c r="J87" s="264"/>
      <c r="K87" s="264"/>
    </row>
    <row r="88" spans="1:11" ht="13.5">
      <c r="A88" s="3" t="s">
        <v>316</v>
      </c>
      <c r="B88" s="205"/>
      <c r="C88" s="201">
        <f>SUM(C90:C94)</f>
        <v>7274</v>
      </c>
      <c r="D88" s="201">
        <v>3225</v>
      </c>
      <c r="E88" s="201">
        <v>4049</v>
      </c>
      <c r="F88" s="249" t="s">
        <v>222</v>
      </c>
      <c r="G88" s="260"/>
      <c r="H88" s="261"/>
      <c r="I88" s="50">
        <f>J88+K88</f>
        <v>35612</v>
      </c>
      <c r="J88" s="93">
        <f>J90+J91</f>
        <v>15336</v>
      </c>
      <c r="K88" s="93">
        <f>K90+K91</f>
        <v>20276</v>
      </c>
    </row>
    <row r="89" spans="1:11" ht="3.75" customHeight="1">
      <c r="A89" s="95"/>
      <c r="B89" s="90"/>
      <c r="C89" s="73"/>
      <c r="D89" s="73"/>
      <c r="E89" s="73"/>
      <c r="F89" s="97"/>
      <c r="G89" s="23"/>
      <c r="H89" s="56"/>
      <c r="I89" s="73"/>
      <c r="J89" s="74"/>
      <c r="K89" s="74"/>
    </row>
    <row r="90" spans="1:11" ht="13.5" customHeight="1">
      <c r="A90" s="95">
        <v>75</v>
      </c>
      <c r="B90" s="90"/>
      <c r="C90" s="73">
        <f>D90+E90</f>
        <v>1693</v>
      </c>
      <c r="D90" s="96">
        <v>764</v>
      </c>
      <c r="E90" s="96">
        <v>929</v>
      </c>
      <c r="F90" s="107"/>
      <c r="G90" s="244" t="s">
        <v>119</v>
      </c>
      <c r="H90" s="245"/>
      <c r="I90" s="74">
        <f>J90+K90</f>
        <v>19943</v>
      </c>
      <c r="J90" s="74">
        <f>D72+D80</f>
        <v>9274</v>
      </c>
      <c r="K90" s="74">
        <f>E72+E80</f>
        <v>10669</v>
      </c>
    </row>
    <row r="91" spans="1:11" ht="13.5" customHeight="1">
      <c r="A91" s="95">
        <v>76</v>
      </c>
      <c r="B91" s="90"/>
      <c r="C91" s="73">
        <f>D91+E91</f>
        <v>1480</v>
      </c>
      <c r="D91" s="96">
        <v>676</v>
      </c>
      <c r="E91" s="96">
        <v>804</v>
      </c>
      <c r="F91" s="107"/>
      <c r="G91" s="244" t="s">
        <v>120</v>
      </c>
      <c r="H91" s="269"/>
      <c r="I91" s="74">
        <f>J91+K91</f>
        <v>15669</v>
      </c>
      <c r="J91" s="74">
        <f>D88+D96+J56+J64+J72+J80</f>
        <v>6062</v>
      </c>
      <c r="K91" s="74">
        <f>E88+E96+K56+K64+K72+K80</f>
        <v>9607</v>
      </c>
    </row>
    <row r="92" spans="1:11" ht="13.5" customHeight="1">
      <c r="A92" s="95">
        <v>77</v>
      </c>
      <c r="B92" s="90"/>
      <c r="C92" s="73">
        <f>D92+E92</f>
        <v>1433</v>
      </c>
      <c r="D92" s="96">
        <v>633</v>
      </c>
      <c r="E92" s="96">
        <v>800</v>
      </c>
      <c r="F92" s="108"/>
      <c r="G92" s="23"/>
      <c r="H92" s="56"/>
      <c r="I92" s="103"/>
      <c r="J92" s="103"/>
      <c r="K92" s="103"/>
    </row>
    <row r="93" spans="1:11" ht="13.5" customHeight="1">
      <c r="A93" s="95">
        <v>78</v>
      </c>
      <c r="B93" s="90"/>
      <c r="C93" s="73">
        <f>D93+E93</f>
        <v>1411</v>
      </c>
      <c r="D93" s="96">
        <v>626</v>
      </c>
      <c r="E93" s="96">
        <v>785</v>
      </c>
      <c r="F93" s="266" t="s">
        <v>245</v>
      </c>
      <c r="G93" s="267"/>
      <c r="H93" s="268"/>
      <c r="I93" s="236"/>
      <c r="J93" s="237"/>
      <c r="K93" s="237"/>
    </row>
    <row r="94" spans="1:11" ht="13.5" customHeight="1">
      <c r="A94" s="95">
        <v>79</v>
      </c>
      <c r="B94" s="90"/>
      <c r="C94" s="73">
        <f>D94+E94</f>
        <v>1257</v>
      </c>
      <c r="D94" s="96">
        <v>526</v>
      </c>
      <c r="E94" s="96">
        <v>731</v>
      </c>
      <c r="F94" s="249" t="s">
        <v>220</v>
      </c>
      <c r="G94" s="260"/>
      <c r="H94" s="261"/>
      <c r="I94" s="104">
        <f>I85/'4表'!C6*100</f>
        <v>12.894466041619026</v>
      </c>
      <c r="J94" s="104">
        <f>J85/'4表'!D6*100</f>
        <v>13.155758788225208</v>
      </c>
      <c r="K94" s="104">
        <f>K85/'4表'!E6*100</f>
        <v>12.633083652581622</v>
      </c>
    </row>
    <row r="95" spans="1:11" ht="6" customHeight="1">
      <c r="A95" s="95"/>
      <c r="B95" s="90"/>
      <c r="C95" s="73"/>
      <c r="D95" s="73"/>
      <c r="E95" s="73"/>
      <c r="F95" s="249" t="s">
        <v>221</v>
      </c>
      <c r="G95" s="250"/>
      <c r="H95" s="245"/>
      <c r="I95" s="248">
        <f>I86/'4表'!C6*100</f>
        <v>66.74651269151613</v>
      </c>
      <c r="J95" s="265">
        <f>J86/'4表'!D6*100</f>
        <v>69.3123749642755</v>
      </c>
      <c r="K95" s="265">
        <f>K86/'4表'!E6*100</f>
        <v>64.17977014123163</v>
      </c>
    </row>
    <row r="96" spans="1:11" ht="13.5">
      <c r="A96" s="3" t="s">
        <v>315</v>
      </c>
      <c r="B96" s="205"/>
      <c r="C96" s="201">
        <f>SUM(C98:C102)</f>
        <v>4579</v>
      </c>
      <c r="D96" s="201">
        <v>1846</v>
      </c>
      <c r="E96" s="201">
        <v>2733</v>
      </c>
      <c r="F96" s="251"/>
      <c r="G96" s="250"/>
      <c r="H96" s="245"/>
      <c r="I96" s="248"/>
      <c r="J96" s="265"/>
      <c r="K96" s="265"/>
    </row>
    <row r="97" spans="1:11" ht="3.75" customHeight="1">
      <c r="A97" s="95"/>
      <c r="B97" s="90"/>
      <c r="C97" s="73"/>
      <c r="D97" s="73"/>
      <c r="E97" s="73"/>
      <c r="F97" s="249" t="s">
        <v>222</v>
      </c>
      <c r="G97" s="250"/>
      <c r="H97" s="245"/>
      <c r="I97" s="248">
        <f>I88/'4表'!C6*100</f>
        <v>20.35902126686485</v>
      </c>
      <c r="J97" s="247">
        <f>J88/'4表'!D6*100</f>
        <v>17.531866247499288</v>
      </c>
      <c r="K97" s="247">
        <f>K88/'4表'!E6*100</f>
        <v>23.187146206186746</v>
      </c>
    </row>
    <row r="98" spans="1:11" ht="13.5" customHeight="1">
      <c r="A98" s="95">
        <v>80</v>
      </c>
      <c r="B98" s="90"/>
      <c r="C98" s="73">
        <f>D98+E98</f>
        <v>1125</v>
      </c>
      <c r="D98" s="193">
        <v>474</v>
      </c>
      <c r="E98" s="193">
        <v>651</v>
      </c>
      <c r="F98" s="251"/>
      <c r="G98" s="250"/>
      <c r="H98" s="245"/>
      <c r="I98" s="248"/>
      <c r="J98" s="247"/>
      <c r="K98" s="247"/>
    </row>
    <row r="99" spans="1:11" ht="13.5">
      <c r="A99" s="95">
        <v>81</v>
      </c>
      <c r="B99" s="90"/>
      <c r="C99" s="73">
        <f>D99+E99</f>
        <v>1003</v>
      </c>
      <c r="D99" s="96">
        <v>408</v>
      </c>
      <c r="E99" s="96">
        <v>595</v>
      </c>
      <c r="F99" s="91"/>
      <c r="G99" s="24"/>
      <c r="H99" s="92"/>
      <c r="I99" s="191"/>
      <c r="J99" s="191"/>
      <c r="K99" s="191"/>
    </row>
    <row r="100" spans="1:11" ht="13.5">
      <c r="A100" s="95">
        <v>82</v>
      </c>
      <c r="B100" s="90"/>
      <c r="C100" s="73">
        <f>D100+E100</f>
        <v>961</v>
      </c>
      <c r="D100" s="96">
        <v>386</v>
      </c>
      <c r="E100" s="96">
        <v>575</v>
      </c>
      <c r="F100" s="107"/>
      <c r="G100" s="244" t="s">
        <v>119</v>
      </c>
      <c r="H100" s="259"/>
      <c r="I100" s="104">
        <f>I90/'4表'!C6*100</f>
        <v>11.401211982620627</v>
      </c>
      <c r="J100" s="104">
        <f>J90/'4表'!D6*100</f>
        <v>10.601886253215206</v>
      </c>
      <c r="K100" s="104">
        <f>K90/'4表'!E6*100</f>
        <v>12.200811938933045</v>
      </c>
    </row>
    <row r="101" spans="1:11" ht="13.5">
      <c r="A101" s="95">
        <v>83</v>
      </c>
      <c r="B101" s="90"/>
      <c r="C101" s="73">
        <f>D101+E101</f>
        <v>790</v>
      </c>
      <c r="D101" s="96">
        <v>318</v>
      </c>
      <c r="E101" s="96">
        <v>472</v>
      </c>
      <c r="F101" s="91"/>
      <c r="G101" s="244" t="s">
        <v>120</v>
      </c>
      <c r="H101" s="259"/>
      <c r="I101" s="104">
        <f>I91/'4表'!C6*100</f>
        <v>8.957809284244226</v>
      </c>
      <c r="J101" s="104">
        <f>J91/'4表'!D6*100</f>
        <v>6.929979994284081</v>
      </c>
      <c r="K101" s="104">
        <f>K91/'4表'!E6*100</f>
        <v>10.986334267253703</v>
      </c>
    </row>
    <row r="102" spans="1:11" ht="13.5">
      <c r="A102" s="95">
        <v>84</v>
      </c>
      <c r="B102" s="90"/>
      <c r="C102" s="73">
        <f>D102+E102</f>
        <v>700</v>
      </c>
      <c r="D102" s="96">
        <v>260</v>
      </c>
      <c r="E102" s="96">
        <v>440</v>
      </c>
      <c r="F102" s="108"/>
      <c r="G102" s="23"/>
      <c r="H102" s="56"/>
      <c r="I102" s="20"/>
      <c r="J102" s="20"/>
      <c r="K102" s="20"/>
    </row>
    <row r="103" spans="1:11" ht="13.5" customHeight="1">
      <c r="A103" s="95"/>
      <c r="B103" s="90"/>
      <c r="C103" s="73"/>
      <c r="D103" s="96"/>
      <c r="E103" s="96"/>
      <c r="F103" s="234" t="s">
        <v>121</v>
      </c>
      <c r="G103" s="233"/>
      <c r="H103" s="235"/>
      <c r="I103" s="183">
        <v>42.86575577406815</v>
      </c>
      <c r="J103" s="184">
        <v>41.580988853958274</v>
      </c>
      <c r="K103" s="184">
        <v>44.15096346274801</v>
      </c>
    </row>
    <row r="104" spans="1:11" ht="13.5">
      <c r="A104" s="114"/>
      <c r="B104" s="98"/>
      <c r="C104" s="73"/>
      <c r="D104" s="73"/>
      <c r="E104" s="73"/>
      <c r="F104" s="108"/>
      <c r="G104" s="23"/>
      <c r="H104" s="56"/>
      <c r="I104" s="106"/>
      <c r="J104" s="106"/>
      <c r="K104" s="106"/>
    </row>
    <row r="105" spans="1:11" ht="13.5">
      <c r="A105" s="197" t="s">
        <v>223</v>
      </c>
      <c r="B105" s="100"/>
      <c r="C105" s="210"/>
      <c r="D105" s="211"/>
      <c r="E105" s="211"/>
      <c r="F105" s="211"/>
      <c r="G105" s="211"/>
      <c r="H105" s="211"/>
      <c r="I105" s="211"/>
      <c r="J105" s="270"/>
      <c r="K105" s="270"/>
    </row>
    <row r="106" spans="1:15" ht="13.5">
      <c r="A106" s="197" t="s">
        <v>318</v>
      </c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12"/>
      <c r="M106" s="212"/>
      <c r="N106" s="212"/>
      <c r="O106" s="212"/>
    </row>
    <row r="107" spans="1:15" ht="12.75" customHeight="1">
      <c r="A107" s="197" t="s">
        <v>317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12"/>
      <c r="M107" s="212"/>
      <c r="N107" s="212"/>
      <c r="O107" s="212"/>
    </row>
    <row r="108" spans="1:15" ht="13.5">
      <c r="A108" s="197" t="s">
        <v>319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12"/>
      <c r="M108" s="212"/>
      <c r="N108" s="212"/>
      <c r="O108" s="212"/>
    </row>
    <row r="109" spans="1:11" ht="13.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</sheetData>
  <sheetProtection/>
  <mergeCells count="87">
    <mergeCell ref="F35:G35"/>
    <mergeCell ref="F32:G32"/>
    <mergeCell ref="F19:G19"/>
    <mergeCell ref="F27:G27"/>
    <mergeCell ref="F20:G20"/>
    <mergeCell ref="F28:G28"/>
    <mergeCell ref="F30:G30"/>
    <mergeCell ref="F22:G22"/>
    <mergeCell ref="F24:G24"/>
    <mergeCell ref="F25:G25"/>
    <mergeCell ref="A4:B4"/>
    <mergeCell ref="A6:B6"/>
    <mergeCell ref="F6:G6"/>
    <mergeCell ref="F33:G33"/>
    <mergeCell ref="F8:G8"/>
    <mergeCell ref="F34:G34"/>
    <mergeCell ref="F26:G26"/>
    <mergeCell ref="F41:G41"/>
    <mergeCell ref="F36:G36"/>
    <mergeCell ref="F42:G42"/>
    <mergeCell ref="F38:G38"/>
    <mergeCell ref="F40:G40"/>
    <mergeCell ref="J105:K105"/>
    <mergeCell ref="F52:G52"/>
    <mergeCell ref="F43:G43"/>
    <mergeCell ref="F44:G44"/>
    <mergeCell ref="F46:G46"/>
    <mergeCell ref="F51:G51"/>
    <mergeCell ref="F49:G49"/>
    <mergeCell ref="F50:G50"/>
    <mergeCell ref="F48:G48"/>
    <mergeCell ref="F4:H4"/>
    <mergeCell ref="F16:G16"/>
    <mergeCell ref="F17:G17"/>
    <mergeCell ref="F11:G11"/>
    <mergeCell ref="F12:G12"/>
    <mergeCell ref="F5:G5"/>
    <mergeCell ref="F10:G10"/>
    <mergeCell ref="F18:G18"/>
    <mergeCell ref="F9:G9"/>
    <mergeCell ref="F14:G14"/>
    <mergeCell ref="F93:H93"/>
    <mergeCell ref="F77:G77"/>
    <mergeCell ref="F86:H87"/>
    <mergeCell ref="F88:H88"/>
    <mergeCell ref="G91:H91"/>
    <mergeCell ref="F66:G66"/>
    <mergeCell ref="F67:G67"/>
    <mergeCell ref="K86:K87"/>
    <mergeCell ref="J86:J87"/>
    <mergeCell ref="F69:G69"/>
    <mergeCell ref="G100:H100"/>
    <mergeCell ref="F70:G70"/>
    <mergeCell ref="K95:K96"/>
    <mergeCell ref="J95:J96"/>
    <mergeCell ref="I95:I96"/>
    <mergeCell ref="F94:H94"/>
    <mergeCell ref="G101:H101"/>
    <mergeCell ref="F95:H96"/>
    <mergeCell ref="F72:G72"/>
    <mergeCell ref="F74:G74"/>
    <mergeCell ref="F75:G75"/>
    <mergeCell ref="F85:H85"/>
    <mergeCell ref="F82:H82"/>
    <mergeCell ref="F76:G76"/>
    <mergeCell ref="F78:G78"/>
    <mergeCell ref="F80:H80"/>
    <mergeCell ref="A54:B54"/>
    <mergeCell ref="F54:H54"/>
    <mergeCell ref="F59:G59"/>
    <mergeCell ref="F58:G58"/>
    <mergeCell ref="F68:G68"/>
    <mergeCell ref="F56:G56"/>
    <mergeCell ref="F60:G60"/>
    <mergeCell ref="F61:G61"/>
    <mergeCell ref="F62:G62"/>
    <mergeCell ref="F64:G64"/>
    <mergeCell ref="F103:H103"/>
    <mergeCell ref="I93:K93"/>
    <mergeCell ref="F83:H83"/>
    <mergeCell ref="F84:H84"/>
    <mergeCell ref="G90:H90"/>
    <mergeCell ref="I86:I87"/>
    <mergeCell ref="K97:K98"/>
    <mergeCell ref="J97:J98"/>
    <mergeCell ref="I97:I98"/>
    <mergeCell ref="F97:H9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6.875" style="20" customWidth="1"/>
    <col min="2" max="5" width="3.50390625" style="20" customWidth="1"/>
    <col min="6" max="6" width="6.875" style="20" customWidth="1"/>
    <col min="7" max="7" width="6.25390625" style="20" customWidth="1"/>
    <col min="8" max="9" width="3.125" style="20" customWidth="1"/>
    <col min="10" max="11" width="6.25390625" style="20" customWidth="1"/>
    <col min="12" max="13" width="3.125" style="20" customWidth="1"/>
    <col min="14" max="15" width="6.25390625" style="20" customWidth="1"/>
    <col min="16" max="17" width="3.125" style="20" customWidth="1"/>
    <col min="18" max="18" width="6.25390625" style="20" customWidth="1"/>
    <col min="19" max="16384" width="9.00390625" style="20" customWidth="1"/>
  </cols>
  <sheetData>
    <row r="1" s="213" customFormat="1" ht="15.75" customHeight="1">
      <c r="A1" s="179" t="s">
        <v>320</v>
      </c>
    </row>
    <row r="2" spans="1:18" ht="20.25" customHeight="1">
      <c r="A2" s="9" t="s">
        <v>332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2.75" customHeigh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27" t="s">
        <v>0</v>
      </c>
    </row>
    <row r="4" spans="1:18" s="25" customFormat="1" ht="12.75" customHeight="1">
      <c r="A4" s="290" t="s">
        <v>1</v>
      </c>
      <c r="B4" s="276" t="s">
        <v>139</v>
      </c>
      <c r="C4" s="276"/>
      <c r="D4" s="276"/>
      <c r="E4" s="276"/>
      <c r="F4" s="276"/>
      <c r="G4" s="276"/>
      <c r="H4" s="276"/>
      <c r="I4" s="276"/>
      <c r="J4" s="276"/>
      <c r="K4" s="276" t="s">
        <v>12</v>
      </c>
      <c r="L4" s="276"/>
      <c r="M4" s="276"/>
      <c r="N4" s="276"/>
      <c r="O4" s="276" t="s">
        <v>44</v>
      </c>
      <c r="P4" s="276"/>
      <c r="Q4" s="276"/>
      <c r="R4" s="284"/>
    </row>
    <row r="5" spans="1:18" s="25" customFormat="1" ht="3.75" customHeight="1">
      <c r="A5" s="291"/>
      <c r="B5" s="285" t="s">
        <v>6</v>
      </c>
      <c r="C5" s="285"/>
      <c r="D5" s="285" t="s">
        <v>7</v>
      </c>
      <c r="E5" s="285"/>
      <c r="F5" s="285"/>
      <c r="G5" s="285"/>
      <c r="H5" s="285" t="s">
        <v>140</v>
      </c>
      <c r="I5" s="285"/>
      <c r="J5" s="285"/>
      <c r="K5" s="285" t="s">
        <v>6</v>
      </c>
      <c r="L5" s="285" t="s">
        <v>137</v>
      </c>
      <c r="M5" s="286"/>
      <c r="N5" s="45"/>
      <c r="O5" s="285" t="s">
        <v>6</v>
      </c>
      <c r="P5" s="285" t="s">
        <v>137</v>
      </c>
      <c r="Q5" s="286"/>
      <c r="R5" s="130"/>
    </row>
    <row r="6" spans="1:18" s="25" customFormat="1" ht="11.25" customHeight="1">
      <c r="A6" s="291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9" t="s">
        <v>43</v>
      </c>
      <c r="O6" s="285"/>
      <c r="P6" s="285"/>
      <c r="Q6" s="285"/>
      <c r="R6" s="293" t="s">
        <v>43</v>
      </c>
    </row>
    <row r="7" spans="1:18" s="25" customFormat="1" ht="6" customHeight="1">
      <c r="A7" s="291"/>
      <c r="B7" s="285"/>
      <c r="C7" s="285"/>
      <c r="D7" s="285" t="s">
        <v>59</v>
      </c>
      <c r="E7" s="285"/>
      <c r="F7" s="285" t="s">
        <v>9</v>
      </c>
      <c r="G7" s="285" t="s">
        <v>10</v>
      </c>
      <c r="H7" s="285" t="s">
        <v>136</v>
      </c>
      <c r="I7" s="285"/>
      <c r="J7" s="288" t="s">
        <v>138</v>
      </c>
      <c r="K7" s="285"/>
      <c r="L7" s="285"/>
      <c r="M7" s="285"/>
      <c r="N7" s="289"/>
      <c r="O7" s="285"/>
      <c r="P7" s="285"/>
      <c r="Q7" s="285"/>
      <c r="R7" s="294"/>
    </row>
    <row r="8" spans="1:18" s="25" customFormat="1" ht="6" customHeight="1">
      <c r="A8" s="291"/>
      <c r="B8" s="285"/>
      <c r="C8" s="285"/>
      <c r="D8" s="285"/>
      <c r="E8" s="285"/>
      <c r="F8" s="285"/>
      <c r="G8" s="285"/>
      <c r="H8" s="285"/>
      <c r="I8" s="285"/>
      <c r="J8" s="289"/>
      <c r="K8" s="285"/>
      <c r="L8" s="285"/>
      <c r="M8" s="285"/>
      <c r="N8" s="297" t="s">
        <v>136</v>
      </c>
      <c r="O8" s="285"/>
      <c r="P8" s="285"/>
      <c r="Q8" s="285"/>
      <c r="R8" s="295" t="s">
        <v>136</v>
      </c>
    </row>
    <row r="9" spans="1:18" s="25" customFormat="1" ht="10.5" customHeight="1">
      <c r="A9" s="291"/>
      <c r="B9" s="285"/>
      <c r="C9" s="285"/>
      <c r="D9" s="285"/>
      <c r="E9" s="285"/>
      <c r="F9" s="285"/>
      <c r="G9" s="285"/>
      <c r="H9" s="285"/>
      <c r="I9" s="285"/>
      <c r="J9" s="131" t="s">
        <v>217</v>
      </c>
      <c r="K9" s="285"/>
      <c r="L9" s="285"/>
      <c r="M9" s="285"/>
      <c r="N9" s="298"/>
      <c r="O9" s="285"/>
      <c r="P9" s="285"/>
      <c r="Q9" s="285"/>
      <c r="R9" s="296"/>
    </row>
    <row r="10" spans="1:17" s="25" customFormat="1" ht="3.75" customHeight="1">
      <c r="A10" s="28"/>
      <c r="B10" s="277"/>
      <c r="C10" s="277"/>
      <c r="D10" s="277"/>
      <c r="E10" s="277"/>
      <c r="H10" s="277"/>
      <c r="I10" s="277"/>
      <c r="L10" s="277"/>
      <c r="M10" s="277"/>
      <c r="P10" s="277"/>
      <c r="Q10" s="277"/>
    </row>
    <row r="11" spans="1:18" s="25" customFormat="1" ht="12.75" customHeight="1">
      <c r="A11" s="132">
        <v>19</v>
      </c>
      <c r="B11" s="299">
        <v>78581</v>
      </c>
      <c r="C11" s="281"/>
      <c r="D11" s="273">
        <v>171325</v>
      </c>
      <c r="E11" s="273"/>
      <c r="F11" s="125">
        <v>85685</v>
      </c>
      <c r="G11" s="125">
        <v>85640</v>
      </c>
      <c r="H11" s="273">
        <v>1557</v>
      </c>
      <c r="I11" s="273"/>
      <c r="J11" s="133">
        <v>0.9171339710663915</v>
      </c>
      <c r="K11" s="125">
        <v>9084</v>
      </c>
      <c r="L11" s="273">
        <v>19568</v>
      </c>
      <c r="M11" s="273"/>
      <c r="N11" s="125">
        <v>-74</v>
      </c>
      <c r="O11" s="125">
        <v>4592</v>
      </c>
      <c r="P11" s="283">
        <v>9464</v>
      </c>
      <c r="Q11" s="283"/>
      <c r="R11" s="125">
        <v>-85</v>
      </c>
    </row>
    <row r="12" spans="1:18" s="25" customFormat="1" ht="12.75" customHeight="1">
      <c r="A12" s="132">
        <v>20</v>
      </c>
      <c r="B12" s="299">
        <v>79876</v>
      </c>
      <c r="C12" s="281"/>
      <c r="D12" s="273">
        <f>SUM(F12:G12)</f>
        <v>172547</v>
      </c>
      <c r="E12" s="273"/>
      <c r="F12" s="125">
        <v>86300</v>
      </c>
      <c r="G12" s="125">
        <v>86247</v>
      </c>
      <c r="H12" s="273">
        <f>D12-D11</f>
        <v>1222</v>
      </c>
      <c r="I12" s="273"/>
      <c r="J12" s="133">
        <f>H12/D11*100</f>
        <v>0.7132642638260616</v>
      </c>
      <c r="K12" s="125">
        <v>9204</v>
      </c>
      <c r="L12" s="273">
        <v>19627</v>
      </c>
      <c r="M12" s="273"/>
      <c r="N12" s="125">
        <f>L12-L11</f>
        <v>59</v>
      </c>
      <c r="O12" s="125">
        <v>4612</v>
      </c>
      <c r="P12" s="273">
        <v>9440</v>
      </c>
      <c r="Q12" s="273"/>
      <c r="R12" s="125">
        <f>P12-P11</f>
        <v>-24</v>
      </c>
    </row>
    <row r="13" spans="1:18" s="25" customFormat="1" ht="12.75" customHeight="1">
      <c r="A13" s="132">
        <v>21</v>
      </c>
      <c r="B13" s="281">
        <v>80942</v>
      </c>
      <c r="C13" s="273"/>
      <c r="D13" s="273">
        <f>SUM(F13:G13)</f>
        <v>173692</v>
      </c>
      <c r="E13" s="273"/>
      <c r="F13" s="125">
        <v>86925</v>
      </c>
      <c r="G13" s="125">
        <v>86767</v>
      </c>
      <c r="H13" s="273">
        <f>D13-D12</f>
        <v>1145</v>
      </c>
      <c r="I13" s="273"/>
      <c r="J13" s="133">
        <f>H13/D12*100</f>
        <v>0.663587312442407</v>
      </c>
      <c r="K13" s="125">
        <v>9190</v>
      </c>
      <c r="L13" s="273">
        <v>19464</v>
      </c>
      <c r="M13" s="273"/>
      <c r="N13" s="125">
        <f>L13-L12</f>
        <v>-163</v>
      </c>
      <c r="O13" s="125">
        <v>4645</v>
      </c>
      <c r="P13" s="273">
        <v>9506</v>
      </c>
      <c r="Q13" s="273"/>
      <c r="R13" s="125">
        <f>P13-P12</f>
        <v>66</v>
      </c>
    </row>
    <row r="14" spans="1:18" s="194" customFormat="1" ht="12.75" customHeight="1">
      <c r="A14" s="132">
        <v>22</v>
      </c>
      <c r="B14" s="281">
        <v>81794</v>
      </c>
      <c r="C14" s="273"/>
      <c r="D14" s="273">
        <f>SUM(F14:G14)</f>
        <v>174458</v>
      </c>
      <c r="E14" s="273"/>
      <c r="F14" s="125">
        <v>87414</v>
      </c>
      <c r="G14" s="125">
        <v>87044</v>
      </c>
      <c r="H14" s="273">
        <f>D14-D13</f>
        <v>766</v>
      </c>
      <c r="I14" s="273"/>
      <c r="J14" s="133">
        <f>H14/D13*100</f>
        <v>0.4410105243764825</v>
      </c>
      <c r="K14" s="125">
        <v>9339</v>
      </c>
      <c r="L14" s="273">
        <v>19552</v>
      </c>
      <c r="M14" s="273"/>
      <c r="N14" s="125">
        <f>L14-L13</f>
        <v>88</v>
      </c>
      <c r="O14" s="125">
        <v>4756</v>
      </c>
      <c r="P14" s="273">
        <v>9656</v>
      </c>
      <c r="Q14" s="273"/>
      <c r="R14" s="125">
        <f>P14-P13</f>
        <v>150</v>
      </c>
    </row>
    <row r="15" spans="1:18" s="179" customFormat="1" ht="12.75" customHeight="1">
      <c r="A15" s="198">
        <v>23</v>
      </c>
      <c r="B15" s="300">
        <v>82567</v>
      </c>
      <c r="C15" s="301"/>
      <c r="D15" s="301">
        <f>SUM(F15:G15)</f>
        <v>174920</v>
      </c>
      <c r="E15" s="301"/>
      <c r="F15" s="126">
        <v>87475</v>
      </c>
      <c r="G15" s="126">
        <v>87445</v>
      </c>
      <c r="H15" s="273">
        <f>D15-D14</f>
        <v>462</v>
      </c>
      <c r="I15" s="273"/>
      <c r="J15" s="133">
        <f>H15/D14*100</f>
        <v>0.26482018594733403</v>
      </c>
      <c r="K15" s="199">
        <v>9512</v>
      </c>
      <c r="L15" s="301">
        <v>19787</v>
      </c>
      <c r="M15" s="301"/>
      <c r="N15" s="125">
        <f>L15-L14</f>
        <v>235</v>
      </c>
      <c r="O15" s="199">
        <v>4732</v>
      </c>
      <c r="P15" s="301">
        <v>9567</v>
      </c>
      <c r="Q15" s="301"/>
      <c r="R15" s="125">
        <f>P15-P14</f>
        <v>-89</v>
      </c>
    </row>
    <row r="16" spans="1:18" s="25" customFormat="1" ht="3.75" customHeight="1">
      <c r="A16" s="134"/>
      <c r="B16" s="277"/>
      <c r="C16" s="277"/>
      <c r="D16" s="274"/>
      <c r="E16" s="274"/>
      <c r="F16" s="127"/>
      <c r="G16" s="127"/>
      <c r="H16" s="274"/>
      <c r="I16" s="274"/>
      <c r="J16" s="127"/>
      <c r="K16" s="127"/>
      <c r="L16" s="274"/>
      <c r="M16" s="274"/>
      <c r="N16" s="127"/>
      <c r="O16" s="127"/>
      <c r="P16" s="274"/>
      <c r="Q16" s="274"/>
      <c r="R16" s="127"/>
    </row>
    <row r="17" spans="1:18" s="25" customFormat="1" ht="12.75" customHeight="1">
      <c r="A17" s="290" t="s">
        <v>1</v>
      </c>
      <c r="B17" s="276" t="s">
        <v>45</v>
      </c>
      <c r="C17" s="276"/>
      <c r="D17" s="276"/>
      <c r="E17" s="276"/>
      <c r="F17" s="276"/>
      <c r="G17" s="276" t="s">
        <v>46</v>
      </c>
      <c r="H17" s="276"/>
      <c r="I17" s="276"/>
      <c r="J17" s="276"/>
      <c r="K17" s="276" t="s">
        <v>141</v>
      </c>
      <c r="L17" s="276"/>
      <c r="M17" s="276"/>
      <c r="N17" s="276"/>
      <c r="O17" s="276" t="s">
        <v>47</v>
      </c>
      <c r="P17" s="276"/>
      <c r="Q17" s="276"/>
      <c r="R17" s="284"/>
    </row>
    <row r="18" spans="1:18" s="25" customFormat="1" ht="3.75" customHeight="1">
      <c r="A18" s="291"/>
      <c r="B18" s="285" t="s">
        <v>6</v>
      </c>
      <c r="C18" s="285"/>
      <c r="D18" s="285" t="s">
        <v>137</v>
      </c>
      <c r="E18" s="286"/>
      <c r="F18" s="45"/>
      <c r="G18" s="285" t="s">
        <v>6</v>
      </c>
      <c r="H18" s="285" t="s">
        <v>137</v>
      </c>
      <c r="I18" s="286"/>
      <c r="J18" s="45"/>
      <c r="K18" s="285" t="s">
        <v>6</v>
      </c>
      <c r="L18" s="285" t="s">
        <v>137</v>
      </c>
      <c r="M18" s="286"/>
      <c r="N18" s="45"/>
      <c r="O18" s="285" t="s">
        <v>6</v>
      </c>
      <c r="P18" s="285" t="s">
        <v>137</v>
      </c>
      <c r="Q18" s="286"/>
      <c r="R18" s="130"/>
    </row>
    <row r="19" spans="1:18" s="25" customFormat="1" ht="10.5" customHeight="1">
      <c r="A19" s="291"/>
      <c r="B19" s="285"/>
      <c r="C19" s="285"/>
      <c r="D19" s="285"/>
      <c r="E19" s="285"/>
      <c r="F19" s="38" t="s">
        <v>43</v>
      </c>
      <c r="G19" s="285"/>
      <c r="H19" s="285"/>
      <c r="I19" s="285"/>
      <c r="J19" s="38" t="s">
        <v>43</v>
      </c>
      <c r="K19" s="285"/>
      <c r="L19" s="285"/>
      <c r="M19" s="285"/>
      <c r="N19" s="38" t="s">
        <v>43</v>
      </c>
      <c r="O19" s="285"/>
      <c r="P19" s="285"/>
      <c r="Q19" s="285"/>
      <c r="R19" s="33" t="s">
        <v>43</v>
      </c>
    </row>
    <row r="20" spans="1:18" s="25" customFormat="1" ht="10.5" customHeight="1">
      <c r="A20" s="291"/>
      <c r="B20" s="285"/>
      <c r="C20" s="285"/>
      <c r="D20" s="285"/>
      <c r="E20" s="285"/>
      <c r="F20" s="37" t="s">
        <v>136</v>
      </c>
      <c r="G20" s="285"/>
      <c r="H20" s="285"/>
      <c r="I20" s="285"/>
      <c r="J20" s="37" t="s">
        <v>136</v>
      </c>
      <c r="K20" s="285"/>
      <c r="L20" s="285"/>
      <c r="M20" s="285"/>
      <c r="N20" s="37" t="s">
        <v>136</v>
      </c>
      <c r="O20" s="285"/>
      <c r="P20" s="285"/>
      <c r="Q20" s="285"/>
      <c r="R20" s="36" t="s">
        <v>136</v>
      </c>
    </row>
    <row r="21" spans="1:17" s="25" customFormat="1" ht="3.75" customHeight="1">
      <c r="A21" s="28"/>
      <c r="B21" s="277"/>
      <c r="C21" s="277"/>
      <c r="D21" s="277"/>
      <c r="E21" s="277"/>
      <c r="H21" s="277"/>
      <c r="I21" s="277"/>
      <c r="L21" s="277"/>
      <c r="M21" s="277"/>
      <c r="P21" s="277"/>
      <c r="Q21" s="277"/>
    </row>
    <row r="22" spans="1:18" s="25" customFormat="1" ht="12.75" customHeight="1">
      <c r="A22" s="132">
        <v>19</v>
      </c>
      <c r="B22" s="303">
        <v>8282</v>
      </c>
      <c r="C22" s="280"/>
      <c r="D22" s="283">
        <v>16036</v>
      </c>
      <c r="E22" s="283"/>
      <c r="F22" s="125">
        <v>542</v>
      </c>
      <c r="G22" s="125">
        <v>5087</v>
      </c>
      <c r="H22" s="283">
        <v>10040</v>
      </c>
      <c r="I22" s="283"/>
      <c r="J22" s="125">
        <v>2</v>
      </c>
      <c r="K22" s="125">
        <v>5053</v>
      </c>
      <c r="L22" s="273">
        <v>9647</v>
      </c>
      <c r="M22" s="273"/>
      <c r="N22" s="125">
        <v>53</v>
      </c>
      <c r="O22" s="125">
        <v>5242</v>
      </c>
      <c r="P22" s="283">
        <v>9524</v>
      </c>
      <c r="Q22" s="283"/>
      <c r="R22" s="125">
        <v>75</v>
      </c>
    </row>
    <row r="23" spans="1:18" s="25" customFormat="1" ht="12.75" customHeight="1">
      <c r="A23" s="132">
        <v>20</v>
      </c>
      <c r="B23" s="302">
        <v>8410</v>
      </c>
      <c r="C23" s="287"/>
      <c r="D23" s="275">
        <v>16165</v>
      </c>
      <c r="E23" s="275"/>
      <c r="F23" s="125">
        <v>129</v>
      </c>
      <c r="G23" s="109">
        <v>5090</v>
      </c>
      <c r="H23" s="275">
        <v>9978</v>
      </c>
      <c r="I23" s="275"/>
      <c r="J23" s="125">
        <v>-62</v>
      </c>
      <c r="K23" s="109">
        <v>5256</v>
      </c>
      <c r="L23" s="273">
        <v>9929</v>
      </c>
      <c r="M23" s="273"/>
      <c r="N23" s="125">
        <v>282</v>
      </c>
      <c r="O23" s="109">
        <v>5303</v>
      </c>
      <c r="P23" s="275">
        <v>9561</v>
      </c>
      <c r="Q23" s="275"/>
      <c r="R23" s="125">
        <v>37</v>
      </c>
    </row>
    <row r="24" spans="1:18" s="25" customFormat="1" ht="12.75" customHeight="1">
      <c r="A24" s="132">
        <v>21</v>
      </c>
      <c r="B24" s="287">
        <v>8425</v>
      </c>
      <c r="C24" s="275"/>
      <c r="D24" s="275">
        <v>16163</v>
      </c>
      <c r="E24" s="275"/>
      <c r="F24" s="125">
        <v>-2</v>
      </c>
      <c r="G24" s="109">
        <v>5043</v>
      </c>
      <c r="H24" s="275">
        <v>9855</v>
      </c>
      <c r="I24" s="275"/>
      <c r="J24" s="125">
        <v>-123</v>
      </c>
      <c r="K24" s="109">
        <v>5469</v>
      </c>
      <c r="L24" s="275">
        <v>10247</v>
      </c>
      <c r="M24" s="275"/>
      <c r="N24" s="125">
        <v>318</v>
      </c>
      <c r="O24" s="109">
        <v>5391</v>
      </c>
      <c r="P24" s="275">
        <v>9646</v>
      </c>
      <c r="Q24" s="275"/>
      <c r="R24" s="125">
        <v>85</v>
      </c>
    </row>
    <row r="25" spans="1:18" s="25" customFormat="1" ht="12.75" customHeight="1">
      <c r="A25" s="132">
        <v>22</v>
      </c>
      <c r="B25" s="287">
        <v>8404</v>
      </c>
      <c r="C25" s="275"/>
      <c r="D25" s="275">
        <v>15984</v>
      </c>
      <c r="E25" s="275"/>
      <c r="F25" s="125">
        <f>D25-D24</f>
        <v>-179</v>
      </c>
      <c r="G25" s="109">
        <v>5046</v>
      </c>
      <c r="H25" s="275">
        <v>9787</v>
      </c>
      <c r="I25" s="275"/>
      <c r="J25" s="125">
        <f>H25-H24</f>
        <v>-68</v>
      </c>
      <c r="K25" s="109">
        <v>5587</v>
      </c>
      <c r="L25" s="275">
        <v>10416</v>
      </c>
      <c r="M25" s="275"/>
      <c r="N25" s="125">
        <f>L25-L24</f>
        <v>169</v>
      </c>
      <c r="O25" s="109">
        <v>5441</v>
      </c>
      <c r="P25" s="275">
        <v>9598</v>
      </c>
      <c r="Q25" s="275"/>
      <c r="R25" s="125">
        <f>P25-P24</f>
        <v>-48</v>
      </c>
    </row>
    <row r="26" spans="1:18" s="25" customFormat="1" ht="12.75" customHeight="1">
      <c r="A26" s="198">
        <v>23</v>
      </c>
      <c r="B26" s="278">
        <v>8390</v>
      </c>
      <c r="C26" s="279"/>
      <c r="D26" s="272">
        <v>15871</v>
      </c>
      <c r="E26" s="272"/>
      <c r="F26" s="126">
        <f>D26-D25</f>
        <v>-113</v>
      </c>
      <c r="G26" s="199">
        <v>5047</v>
      </c>
      <c r="H26" s="272">
        <v>9742</v>
      </c>
      <c r="I26" s="272"/>
      <c r="J26" s="126">
        <f>H26-H25</f>
        <v>-45</v>
      </c>
      <c r="K26" s="208">
        <v>5742</v>
      </c>
      <c r="L26" s="272">
        <v>10632</v>
      </c>
      <c r="M26" s="272"/>
      <c r="N26" s="126">
        <f>L26-L25</f>
        <v>216</v>
      </c>
      <c r="O26" s="199">
        <v>5479</v>
      </c>
      <c r="P26" s="272">
        <v>9577</v>
      </c>
      <c r="Q26" s="272"/>
      <c r="R26" s="126">
        <f>P26-P25</f>
        <v>-21</v>
      </c>
    </row>
    <row r="27" spans="1:17" s="25" customFormat="1" ht="3.75" customHeight="1">
      <c r="A27" s="134"/>
      <c r="B27" s="277"/>
      <c r="C27" s="277"/>
      <c r="D27" s="277"/>
      <c r="E27" s="277"/>
      <c r="H27" s="292"/>
      <c r="I27" s="292"/>
      <c r="L27" s="277"/>
      <c r="M27" s="277"/>
      <c r="P27" s="277"/>
      <c r="Q27" s="277"/>
    </row>
    <row r="28" spans="1:18" s="25" customFormat="1" ht="12.75" customHeight="1">
      <c r="A28" s="290" t="s">
        <v>1</v>
      </c>
      <c r="B28" s="276" t="s">
        <v>48</v>
      </c>
      <c r="C28" s="276"/>
      <c r="D28" s="276"/>
      <c r="E28" s="276"/>
      <c r="F28" s="276"/>
      <c r="G28" s="276" t="s">
        <v>49</v>
      </c>
      <c r="H28" s="276"/>
      <c r="I28" s="276"/>
      <c r="J28" s="276"/>
      <c r="K28" s="276" t="s">
        <v>50</v>
      </c>
      <c r="L28" s="276"/>
      <c r="M28" s="276"/>
      <c r="N28" s="276"/>
      <c r="O28" s="276" t="s">
        <v>142</v>
      </c>
      <c r="P28" s="276"/>
      <c r="Q28" s="276"/>
      <c r="R28" s="284"/>
    </row>
    <row r="29" spans="1:18" s="25" customFormat="1" ht="3.75" customHeight="1">
      <c r="A29" s="291"/>
      <c r="B29" s="285" t="s">
        <v>6</v>
      </c>
      <c r="C29" s="285"/>
      <c r="D29" s="285" t="s">
        <v>137</v>
      </c>
      <c r="E29" s="286"/>
      <c r="F29" s="45"/>
      <c r="G29" s="285" t="s">
        <v>6</v>
      </c>
      <c r="H29" s="285" t="s">
        <v>137</v>
      </c>
      <c r="I29" s="286"/>
      <c r="J29" s="45"/>
      <c r="K29" s="285" t="s">
        <v>6</v>
      </c>
      <c r="L29" s="285" t="s">
        <v>137</v>
      </c>
      <c r="M29" s="286"/>
      <c r="N29" s="45"/>
      <c r="O29" s="285" t="s">
        <v>6</v>
      </c>
      <c r="P29" s="285" t="s">
        <v>137</v>
      </c>
      <c r="Q29" s="286"/>
      <c r="R29" s="130"/>
    </row>
    <row r="30" spans="1:18" s="25" customFormat="1" ht="10.5" customHeight="1">
      <c r="A30" s="291"/>
      <c r="B30" s="285"/>
      <c r="C30" s="285"/>
      <c r="D30" s="285"/>
      <c r="E30" s="285"/>
      <c r="F30" s="38" t="s">
        <v>43</v>
      </c>
      <c r="G30" s="285"/>
      <c r="H30" s="285"/>
      <c r="I30" s="285"/>
      <c r="J30" s="38" t="s">
        <v>43</v>
      </c>
      <c r="K30" s="285"/>
      <c r="L30" s="285"/>
      <c r="M30" s="285"/>
      <c r="N30" s="38" t="s">
        <v>43</v>
      </c>
      <c r="O30" s="285"/>
      <c r="P30" s="285"/>
      <c r="Q30" s="285"/>
      <c r="R30" s="33" t="s">
        <v>43</v>
      </c>
    </row>
    <row r="31" spans="1:18" s="25" customFormat="1" ht="10.5" customHeight="1">
      <c r="A31" s="291"/>
      <c r="B31" s="285"/>
      <c r="C31" s="285"/>
      <c r="D31" s="285"/>
      <c r="E31" s="285"/>
      <c r="F31" s="37" t="s">
        <v>136</v>
      </c>
      <c r="G31" s="285"/>
      <c r="H31" s="285"/>
      <c r="I31" s="285"/>
      <c r="J31" s="37" t="s">
        <v>136</v>
      </c>
      <c r="K31" s="285"/>
      <c r="L31" s="285"/>
      <c r="M31" s="285"/>
      <c r="N31" s="37" t="s">
        <v>136</v>
      </c>
      <c r="O31" s="285"/>
      <c r="P31" s="285"/>
      <c r="Q31" s="285"/>
      <c r="R31" s="36" t="s">
        <v>136</v>
      </c>
    </row>
    <row r="32" spans="1:17" s="25" customFormat="1" ht="3.75" customHeight="1">
      <c r="A32" s="134"/>
      <c r="B32" s="277"/>
      <c r="C32" s="277"/>
      <c r="D32" s="277"/>
      <c r="E32" s="277"/>
      <c r="H32" s="277"/>
      <c r="I32" s="277"/>
      <c r="L32" s="277"/>
      <c r="M32" s="277"/>
      <c r="P32" s="277"/>
      <c r="Q32" s="277"/>
    </row>
    <row r="33" spans="1:18" s="25" customFormat="1" ht="12.75" customHeight="1">
      <c r="A33" s="132">
        <v>19</v>
      </c>
      <c r="B33" s="280">
        <v>1473</v>
      </c>
      <c r="C33" s="280"/>
      <c r="D33" s="283">
        <v>2861</v>
      </c>
      <c r="E33" s="283"/>
      <c r="F33" s="125">
        <v>576</v>
      </c>
      <c r="G33" s="125">
        <v>5487</v>
      </c>
      <c r="H33" s="283">
        <v>12306</v>
      </c>
      <c r="I33" s="283"/>
      <c r="J33" s="125">
        <v>41</v>
      </c>
      <c r="K33" s="125">
        <v>5285</v>
      </c>
      <c r="L33" s="283">
        <v>12336</v>
      </c>
      <c r="M33" s="283"/>
      <c r="N33" s="125">
        <v>-122</v>
      </c>
      <c r="O33" s="125">
        <v>5740</v>
      </c>
      <c r="P33" s="283">
        <v>13055</v>
      </c>
      <c r="Q33" s="283"/>
      <c r="R33" s="125">
        <v>-50</v>
      </c>
    </row>
    <row r="34" spans="1:18" s="25" customFormat="1" ht="12.75" customHeight="1">
      <c r="A34" s="132">
        <v>20</v>
      </c>
      <c r="B34" s="281">
        <v>1499</v>
      </c>
      <c r="C34" s="282"/>
      <c r="D34" s="273">
        <v>2947</v>
      </c>
      <c r="E34" s="273"/>
      <c r="F34" s="125">
        <v>86</v>
      </c>
      <c r="G34" s="125">
        <v>5696</v>
      </c>
      <c r="H34" s="273">
        <v>12655</v>
      </c>
      <c r="I34" s="273"/>
      <c r="J34" s="125">
        <v>349</v>
      </c>
      <c r="K34" s="125">
        <v>5319</v>
      </c>
      <c r="L34" s="273">
        <v>12230</v>
      </c>
      <c r="M34" s="273"/>
      <c r="N34" s="125">
        <v>-106</v>
      </c>
      <c r="O34" s="125">
        <v>5840</v>
      </c>
      <c r="P34" s="273">
        <v>13207</v>
      </c>
      <c r="Q34" s="273"/>
      <c r="R34" s="125">
        <v>152</v>
      </c>
    </row>
    <row r="35" spans="1:18" s="25" customFormat="1" ht="12.75" customHeight="1">
      <c r="A35" s="132">
        <v>21</v>
      </c>
      <c r="B35" s="281">
        <v>1538</v>
      </c>
      <c r="C35" s="282"/>
      <c r="D35" s="273">
        <v>2992</v>
      </c>
      <c r="E35" s="273"/>
      <c r="F35" s="125">
        <v>45</v>
      </c>
      <c r="G35" s="125">
        <v>5792</v>
      </c>
      <c r="H35" s="273">
        <v>12812</v>
      </c>
      <c r="I35" s="273"/>
      <c r="J35" s="125">
        <v>157</v>
      </c>
      <c r="K35" s="125">
        <v>5403</v>
      </c>
      <c r="L35" s="273">
        <v>12288</v>
      </c>
      <c r="M35" s="273"/>
      <c r="N35" s="125">
        <v>58</v>
      </c>
      <c r="O35" s="125">
        <v>5905</v>
      </c>
      <c r="P35" s="273">
        <v>13181</v>
      </c>
      <c r="Q35" s="273"/>
      <c r="R35" s="125">
        <v>-26</v>
      </c>
    </row>
    <row r="36" spans="1:18" s="25" customFormat="1" ht="12.75" customHeight="1">
      <c r="A36" s="132">
        <v>22</v>
      </c>
      <c r="B36" s="287">
        <v>1497</v>
      </c>
      <c r="C36" s="275"/>
      <c r="D36" s="275">
        <v>2968</v>
      </c>
      <c r="E36" s="275"/>
      <c r="F36" s="125">
        <f>D36-D35</f>
        <v>-24</v>
      </c>
      <c r="G36" s="109">
        <v>5800</v>
      </c>
      <c r="H36" s="275">
        <v>12866</v>
      </c>
      <c r="I36" s="275"/>
      <c r="J36" s="125">
        <f>H36-H35</f>
        <v>54</v>
      </c>
      <c r="K36" s="109">
        <v>5467</v>
      </c>
      <c r="L36" s="275">
        <v>12412</v>
      </c>
      <c r="M36" s="275"/>
      <c r="N36" s="125">
        <f>L36-L35</f>
        <v>124</v>
      </c>
      <c r="O36" s="109">
        <v>5883</v>
      </c>
      <c r="P36" s="275">
        <v>13123</v>
      </c>
      <c r="Q36" s="275"/>
      <c r="R36" s="125">
        <f>P36-P35</f>
        <v>-58</v>
      </c>
    </row>
    <row r="37" spans="1:18" s="25" customFormat="1" ht="12.75" customHeight="1">
      <c r="A37" s="198">
        <v>23</v>
      </c>
      <c r="B37" s="279">
        <v>1476</v>
      </c>
      <c r="C37" s="272"/>
      <c r="D37" s="272">
        <v>2975</v>
      </c>
      <c r="E37" s="272"/>
      <c r="F37" s="126">
        <f>D37-D36</f>
        <v>7</v>
      </c>
      <c r="G37" s="199">
        <v>5766</v>
      </c>
      <c r="H37" s="272">
        <v>12752</v>
      </c>
      <c r="I37" s="272"/>
      <c r="J37" s="126">
        <f>H37-H36</f>
        <v>-114</v>
      </c>
      <c r="K37" s="199">
        <v>5528</v>
      </c>
      <c r="L37" s="272">
        <v>12492</v>
      </c>
      <c r="M37" s="272"/>
      <c r="N37" s="126">
        <f>L37-L36</f>
        <v>80</v>
      </c>
      <c r="O37" s="199">
        <v>5898</v>
      </c>
      <c r="P37" s="272">
        <v>13066</v>
      </c>
      <c r="Q37" s="272"/>
      <c r="R37" s="126">
        <f>P37-P36</f>
        <v>-57</v>
      </c>
    </row>
    <row r="38" spans="1:17" s="25" customFormat="1" ht="3.75" customHeight="1">
      <c r="A38" s="134"/>
      <c r="B38" s="277"/>
      <c r="C38" s="277"/>
      <c r="D38" s="277"/>
      <c r="E38" s="277"/>
      <c r="H38" s="277"/>
      <c r="I38" s="277"/>
      <c r="L38" s="277"/>
      <c r="M38" s="277"/>
      <c r="P38" s="277"/>
      <c r="Q38" s="277"/>
    </row>
    <row r="39" spans="1:18" s="25" customFormat="1" ht="12.75" customHeight="1">
      <c r="A39" s="290" t="s">
        <v>1</v>
      </c>
      <c r="B39" s="276" t="s">
        <v>51</v>
      </c>
      <c r="C39" s="276"/>
      <c r="D39" s="276"/>
      <c r="E39" s="276"/>
      <c r="F39" s="276"/>
      <c r="G39" s="276" t="s">
        <v>144</v>
      </c>
      <c r="H39" s="276"/>
      <c r="I39" s="276"/>
      <c r="J39" s="276"/>
      <c r="K39" s="276" t="s">
        <v>52</v>
      </c>
      <c r="L39" s="276"/>
      <c r="M39" s="276"/>
      <c r="N39" s="276"/>
      <c r="O39" s="276" t="s">
        <v>53</v>
      </c>
      <c r="P39" s="276"/>
      <c r="Q39" s="276"/>
      <c r="R39" s="284"/>
    </row>
    <row r="40" spans="1:18" s="25" customFormat="1" ht="3.75" customHeight="1">
      <c r="A40" s="291"/>
      <c r="B40" s="285" t="s">
        <v>6</v>
      </c>
      <c r="C40" s="285"/>
      <c r="D40" s="285" t="s">
        <v>137</v>
      </c>
      <c r="E40" s="286"/>
      <c r="F40" s="45"/>
      <c r="G40" s="285" t="s">
        <v>6</v>
      </c>
      <c r="H40" s="285" t="s">
        <v>137</v>
      </c>
      <c r="I40" s="286"/>
      <c r="J40" s="45"/>
      <c r="K40" s="285" t="s">
        <v>6</v>
      </c>
      <c r="L40" s="285" t="s">
        <v>137</v>
      </c>
      <c r="M40" s="286"/>
      <c r="N40" s="45"/>
      <c r="O40" s="285" t="s">
        <v>6</v>
      </c>
      <c r="P40" s="285" t="s">
        <v>137</v>
      </c>
      <c r="Q40" s="286"/>
      <c r="R40" s="130"/>
    </row>
    <row r="41" spans="1:18" s="25" customFormat="1" ht="10.5" customHeight="1">
      <c r="A41" s="291"/>
      <c r="B41" s="285"/>
      <c r="C41" s="285"/>
      <c r="D41" s="285"/>
      <c r="E41" s="285"/>
      <c r="F41" s="38" t="s">
        <v>43</v>
      </c>
      <c r="G41" s="285"/>
      <c r="H41" s="285"/>
      <c r="I41" s="285"/>
      <c r="J41" s="38" t="s">
        <v>43</v>
      </c>
      <c r="K41" s="285"/>
      <c r="L41" s="285"/>
      <c r="M41" s="285"/>
      <c r="N41" s="38" t="s">
        <v>43</v>
      </c>
      <c r="O41" s="285"/>
      <c r="P41" s="285"/>
      <c r="Q41" s="285"/>
      <c r="R41" s="33" t="s">
        <v>43</v>
      </c>
    </row>
    <row r="42" spans="1:18" s="25" customFormat="1" ht="10.5" customHeight="1">
      <c r="A42" s="291"/>
      <c r="B42" s="285"/>
      <c r="C42" s="285"/>
      <c r="D42" s="285"/>
      <c r="E42" s="285"/>
      <c r="F42" s="37" t="s">
        <v>136</v>
      </c>
      <c r="G42" s="285"/>
      <c r="H42" s="285"/>
      <c r="I42" s="285"/>
      <c r="J42" s="37" t="s">
        <v>136</v>
      </c>
      <c r="K42" s="285"/>
      <c r="L42" s="285"/>
      <c r="M42" s="285"/>
      <c r="N42" s="37" t="s">
        <v>136</v>
      </c>
      <c r="O42" s="285"/>
      <c r="P42" s="285"/>
      <c r="Q42" s="285"/>
      <c r="R42" s="36" t="s">
        <v>136</v>
      </c>
    </row>
    <row r="43" spans="1:17" s="25" customFormat="1" ht="3.75" customHeight="1">
      <c r="A43" s="28"/>
      <c r="B43" s="277"/>
      <c r="C43" s="277"/>
      <c r="D43" s="277"/>
      <c r="E43" s="277"/>
      <c r="H43" s="277"/>
      <c r="I43" s="277"/>
      <c r="L43" s="277"/>
      <c r="M43" s="277"/>
      <c r="P43" s="277"/>
      <c r="Q43" s="277"/>
    </row>
    <row r="44" spans="1:18" s="25" customFormat="1" ht="12.75" customHeight="1">
      <c r="A44" s="132">
        <v>19</v>
      </c>
      <c r="B44" s="280">
        <v>3909</v>
      </c>
      <c r="C44" s="280"/>
      <c r="D44" s="283">
        <v>8494</v>
      </c>
      <c r="E44" s="283"/>
      <c r="F44" s="125">
        <v>-56</v>
      </c>
      <c r="G44" s="128">
        <v>363</v>
      </c>
      <c r="H44" s="280">
        <v>1045</v>
      </c>
      <c r="I44" s="280"/>
      <c r="J44" s="125">
        <v>59</v>
      </c>
      <c r="K44" s="125">
        <v>6094</v>
      </c>
      <c r="L44" s="283">
        <v>15297</v>
      </c>
      <c r="M44" s="283"/>
      <c r="N44" s="125">
        <v>279</v>
      </c>
      <c r="O44" s="125">
        <v>4333</v>
      </c>
      <c r="P44" s="283">
        <v>10433</v>
      </c>
      <c r="Q44" s="283"/>
      <c r="R44" s="125">
        <v>-1</v>
      </c>
    </row>
    <row r="45" spans="1:18" s="25" customFormat="1" ht="12.75" customHeight="1">
      <c r="A45" s="132">
        <v>20</v>
      </c>
      <c r="B45" s="281">
        <v>3929</v>
      </c>
      <c r="C45" s="282"/>
      <c r="D45" s="273">
        <v>8466</v>
      </c>
      <c r="E45" s="273"/>
      <c r="F45" s="125">
        <v>-28</v>
      </c>
      <c r="G45" s="128">
        <v>393</v>
      </c>
      <c r="H45" s="281">
        <v>1108</v>
      </c>
      <c r="I45" s="281"/>
      <c r="J45" s="125">
        <v>63</v>
      </c>
      <c r="K45" s="125">
        <v>6252</v>
      </c>
      <c r="L45" s="273">
        <v>15501</v>
      </c>
      <c r="M45" s="273"/>
      <c r="N45" s="125">
        <v>204</v>
      </c>
      <c r="O45" s="125">
        <v>4412</v>
      </c>
      <c r="P45" s="273">
        <v>10480</v>
      </c>
      <c r="Q45" s="273"/>
      <c r="R45" s="125">
        <v>47</v>
      </c>
    </row>
    <row r="46" spans="1:18" s="25" customFormat="1" ht="12.75" customHeight="1">
      <c r="A46" s="132">
        <v>21</v>
      </c>
      <c r="B46" s="281">
        <v>4080</v>
      </c>
      <c r="C46" s="282"/>
      <c r="D46" s="273">
        <v>8842</v>
      </c>
      <c r="E46" s="273"/>
      <c r="F46" s="125">
        <v>376</v>
      </c>
      <c r="G46" s="128">
        <v>393</v>
      </c>
      <c r="H46" s="281">
        <v>1129</v>
      </c>
      <c r="I46" s="281"/>
      <c r="J46" s="125">
        <v>21</v>
      </c>
      <c r="K46" s="125">
        <v>6379</v>
      </c>
      <c r="L46" s="273">
        <v>15638</v>
      </c>
      <c r="M46" s="273"/>
      <c r="N46" s="125">
        <v>137</v>
      </c>
      <c r="O46" s="125">
        <v>4486</v>
      </c>
      <c r="P46" s="273">
        <v>10585</v>
      </c>
      <c r="Q46" s="273"/>
      <c r="R46" s="125">
        <v>105</v>
      </c>
    </row>
    <row r="47" spans="1:18" s="25" customFormat="1" ht="12.75" customHeight="1">
      <c r="A47" s="132">
        <v>22</v>
      </c>
      <c r="B47" s="287">
        <v>4125</v>
      </c>
      <c r="C47" s="275"/>
      <c r="D47" s="275">
        <v>8906</v>
      </c>
      <c r="E47" s="275"/>
      <c r="F47" s="125">
        <f>D47-D46</f>
        <v>64</v>
      </c>
      <c r="G47" s="109">
        <v>531</v>
      </c>
      <c r="H47" s="275">
        <v>1382</v>
      </c>
      <c r="I47" s="275"/>
      <c r="J47" s="125">
        <f>H47-H46</f>
        <v>253</v>
      </c>
      <c r="K47" s="109">
        <v>6505</v>
      </c>
      <c r="L47" s="275">
        <v>15837</v>
      </c>
      <c r="M47" s="275"/>
      <c r="N47" s="125">
        <f>L47-L46</f>
        <v>199</v>
      </c>
      <c r="O47" s="109">
        <v>4521</v>
      </c>
      <c r="P47" s="275">
        <v>10517</v>
      </c>
      <c r="Q47" s="275"/>
      <c r="R47" s="125">
        <f>P47-P46</f>
        <v>-68</v>
      </c>
    </row>
    <row r="48" spans="1:18" s="25" customFormat="1" ht="12.75" customHeight="1">
      <c r="A48" s="198">
        <v>23</v>
      </c>
      <c r="B48" s="279">
        <v>4186</v>
      </c>
      <c r="C48" s="272"/>
      <c r="D48" s="272">
        <v>8975</v>
      </c>
      <c r="E48" s="272"/>
      <c r="F48" s="126">
        <f>D48-D47</f>
        <v>69</v>
      </c>
      <c r="G48" s="199">
        <v>554</v>
      </c>
      <c r="H48" s="272">
        <v>1421</v>
      </c>
      <c r="I48" s="272"/>
      <c r="J48" s="126">
        <f>H48-H47</f>
        <v>39</v>
      </c>
      <c r="K48" s="199">
        <v>6627</v>
      </c>
      <c r="L48" s="272">
        <v>16022</v>
      </c>
      <c r="M48" s="272"/>
      <c r="N48" s="126">
        <f>L48-L47</f>
        <v>185</v>
      </c>
      <c r="O48" s="199">
        <v>4575</v>
      </c>
      <c r="P48" s="272">
        <v>10478</v>
      </c>
      <c r="Q48" s="272"/>
      <c r="R48" s="126">
        <f>P48-P47</f>
        <v>-39</v>
      </c>
    </row>
    <row r="49" spans="1:18" s="25" customFormat="1" ht="3.75" customHeight="1">
      <c r="A49" s="134"/>
      <c r="B49" s="277"/>
      <c r="C49" s="277"/>
      <c r="D49" s="277"/>
      <c r="E49" s="277"/>
      <c r="G49" s="46"/>
      <c r="H49" s="274"/>
      <c r="I49" s="274"/>
      <c r="J49" s="135"/>
      <c r="L49" s="277"/>
      <c r="M49" s="277"/>
      <c r="N49" s="136"/>
      <c r="O49" s="136"/>
      <c r="P49" s="274"/>
      <c r="Q49" s="274"/>
      <c r="R49" s="125"/>
    </row>
    <row r="50" spans="1:18" s="25" customFormat="1" ht="12.75" customHeight="1">
      <c r="A50" s="290" t="s">
        <v>1</v>
      </c>
      <c r="B50" s="276" t="s">
        <v>143</v>
      </c>
      <c r="C50" s="276"/>
      <c r="D50" s="276"/>
      <c r="E50" s="276"/>
      <c r="F50" s="276"/>
      <c r="G50" s="276" t="s">
        <v>54</v>
      </c>
      <c r="H50" s="276"/>
      <c r="I50" s="276"/>
      <c r="J50" s="284"/>
      <c r="K50" s="137"/>
      <c r="L50" s="138"/>
      <c r="M50" s="138"/>
      <c r="N50" s="138"/>
      <c r="O50" s="138"/>
      <c r="P50" s="138"/>
      <c r="Q50" s="138"/>
      <c r="R50" s="139"/>
    </row>
    <row r="51" spans="1:18" s="25" customFormat="1" ht="3.75" customHeight="1">
      <c r="A51" s="291"/>
      <c r="B51" s="285" t="s">
        <v>6</v>
      </c>
      <c r="C51" s="285"/>
      <c r="D51" s="285" t="s">
        <v>137</v>
      </c>
      <c r="E51" s="286"/>
      <c r="F51" s="140"/>
      <c r="G51" s="285" t="s">
        <v>6</v>
      </c>
      <c r="H51" s="285" t="s">
        <v>137</v>
      </c>
      <c r="I51" s="286"/>
      <c r="J51" s="130"/>
      <c r="K51" s="136"/>
      <c r="L51" s="136"/>
      <c r="M51" s="136"/>
      <c r="N51" s="136"/>
      <c r="O51" s="136"/>
      <c r="P51" s="136"/>
      <c r="Q51" s="136"/>
      <c r="R51" s="136"/>
    </row>
    <row r="52" spans="1:18" s="25" customFormat="1" ht="10.5" customHeight="1">
      <c r="A52" s="291"/>
      <c r="B52" s="285"/>
      <c r="C52" s="285"/>
      <c r="D52" s="285"/>
      <c r="E52" s="285"/>
      <c r="F52" s="38" t="s">
        <v>43</v>
      </c>
      <c r="G52" s="285"/>
      <c r="H52" s="285"/>
      <c r="I52" s="285"/>
      <c r="J52" s="33" t="s">
        <v>43</v>
      </c>
      <c r="K52" s="136"/>
      <c r="L52" s="136"/>
      <c r="M52" s="136"/>
      <c r="N52" s="136"/>
      <c r="O52" s="136"/>
      <c r="P52" s="136"/>
      <c r="Q52" s="136"/>
      <c r="R52" s="136"/>
    </row>
    <row r="53" spans="1:18" s="25" customFormat="1" ht="10.5" customHeight="1">
      <c r="A53" s="291"/>
      <c r="B53" s="285"/>
      <c r="C53" s="285"/>
      <c r="D53" s="285"/>
      <c r="E53" s="285"/>
      <c r="F53" s="37" t="s">
        <v>136</v>
      </c>
      <c r="G53" s="285"/>
      <c r="H53" s="285"/>
      <c r="I53" s="285"/>
      <c r="J53" s="36" t="s">
        <v>136</v>
      </c>
      <c r="K53" s="136"/>
      <c r="L53" s="136"/>
      <c r="M53" s="136"/>
      <c r="N53" s="136"/>
      <c r="O53" s="136"/>
      <c r="P53" s="136"/>
      <c r="Q53" s="136"/>
      <c r="R53" s="136"/>
    </row>
    <row r="54" spans="1:9" s="25" customFormat="1" ht="4.5" customHeight="1">
      <c r="A54" s="28"/>
      <c r="D54" s="277"/>
      <c r="E54" s="277"/>
      <c r="F54" s="141"/>
      <c r="G54" s="26"/>
      <c r="H54" s="277"/>
      <c r="I54" s="277"/>
    </row>
    <row r="55" spans="1:10" s="25" customFormat="1" ht="12.75" customHeight="1">
      <c r="A55" s="132">
        <v>19</v>
      </c>
      <c r="B55" s="280">
        <v>5588</v>
      </c>
      <c r="C55" s="283"/>
      <c r="D55" s="283">
        <v>13476</v>
      </c>
      <c r="E55" s="283"/>
      <c r="F55" s="128">
        <v>-29</v>
      </c>
      <c r="G55" s="129">
        <v>2969</v>
      </c>
      <c r="H55" s="280">
        <v>7743</v>
      </c>
      <c r="I55" s="280"/>
      <c r="J55" s="125">
        <v>347</v>
      </c>
    </row>
    <row r="56" spans="1:10" s="25" customFormat="1" ht="12.75" customHeight="1">
      <c r="A56" s="132">
        <v>20</v>
      </c>
      <c r="B56" s="280">
        <v>5622</v>
      </c>
      <c r="C56" s="283"/>
      <c r="D56" s="273">
        <v>13381</v>
      </c>
      <c r="E56" s="273"/>
      <c r="F56" s="128">
        <v>-95</v>
      </c>
      <c r="G56" s="129">
        <v>3039</v>
      </c>
      <c r="H56" s="281">
        <v>7872</v>
      </c>
      <c r="I56" s="281"/>
      <c r="J56" s="125">
        <v>129</v>
      </c>
    </row>
    <row r="57" spans="1:10" s="25" customFormat="1" ht="12.75" customHeight="1">
      <c r="A57" s="132">
        <v>21</v>
      </c>
      <c r="B57" s="280">
        <v>5726</v>
      </c>
      <c r="C57" s="283"/>
      <c r="D57" s="273">
        <v>13419</v>
      </c>
      <c r="E57" s="273"/>
      <c r="F57" s="128">
        <v>38</v>
      </c>
      <c r="G57" s="129">
        <v>3077</v>
      </c>
      <c r="H57" s="281">
        <v>7925</v>
      </c>
      <c r="I57" s="281"/>
      <c r="J57" s="125">
        <v>53</v>
      </c>
    </row>
    <row r="58" spans="1:18" s="25" customFormat="1" ht="12.75" customHeight="1">
      <c r="A58" s="132">
        <v>22</v>
      </c>
      <c r="B58" s="287">
        <v>5804</v>
      </c>
      <c r="C58" s="275"/>
      <c r="D58" s="275">
        <v>13513</v>
      </c>
      <c r="E58" s="275"/>
      <c r="F58" s="125">
        <f>D58-D57</f>
        <v>94</v>
      </c>
      <c r="G58" s="109">
        <v>3088</v>
      </c>
      <c r="H58" s="275">
        <v>7941</v>
      </c>
      <c r="I58" s="275"/>
      <c r="J58" s="125">
        <f>H58-H57</f>
        <v>16</v>
      </c>
      <c r="K58" s="109"/>
      <c r="L58" s="275"/>
      <c r="M58" s="275"/>
      <c r="N58" s="125"/>
      <c r="O58" s="109"/>
      <c r="P58" s="275"/>
      <c r="Q58" s="275"/>
      <c r="R58" s="125"/>
    </row>
    <row r="59" spans="1:18" s="25" customFormat="1" ht="12.75" customHeight="1">
      <c r="A59" s="198">
        <v>23</v>
      </c>
      <c r="B59" s="279">
        <v>5913</v>
      </c>
      <c r="C59" s="272"/>
      <c r="D59" s="272">
        <v>13538</v>
      </c>
      <c r="E59" s="272"/>
      <c r="F59" s="126">
        <f>D59-D58</f>
        <v>25</v>
      </c>
      <c r="G59" s="199">
        <v>3142</v>
      </c>
      <c r="H59" s="272">
        <v>8025</v>
      </c>
      <c r="I59" s="272"/>
      <c r="J59" s="126">
        <f>H59-H58</f>
        <v>84</v>
      </c>
      <c r="K59" s="99"/>
      <c r="L59" s="272"/>
      <c r="M59" s="272"/>
      <c r="N59" s="126"/>
      <c r="O59" s="99"/>
      <c r="P59" s="272"/>
      <c r="Q59" s="272"/>
      <c r="R59" s="126"/>
    </row>
    <row r="60" spans="1:10" s="25" customFormat="1" ht="3.75" customHeight="1">
      <c r="A60" s="142"/>
      <c r="B60" s="143"/>
      <c r="C60" s="143"/>
      <c r="D60" s="304"/>
      <c r="E60" s="304"/>
      <c r="F60" s="143"/>
      <c r="G60" s="144"/>
      <c r="H60" s="305"/>
      <c r="I60" s="305"/>
      <c r="J60" s="112"/>
    </row>
    <row r="61" spans="1:18" ht="13.5" customHeight="1">
      <c r="A61" s="168" t="s">
        <v>223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6"/>
    </row>
    <row r="62" spans="1:18" ht="1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</sheetData>
  <sheetProtection/>
  <mergeCells count="229">
    <mergeCell ref="K29:K31"/>
    <mergeCell ref="D60:E60"/>
    <mergeCell ref="H60:I60"/>
    <mergeCell ref="L29:M31"/>
    <mergeCell ref="H33:I33"/>
    <mergeCell ref="K39:N39"/>
    <mergeCell ref="L49:M49"/>
    <mergeCell ref="L48:M48"/>
    <mergeCell ref="L47:M47"/>
    <mergeCell ref="L44:M44"/>
    <mergeCell ref="L24:M24"/>
    <mergeCell ref="P33:Q33"/>
    <mergeCell ref="K17:N17"/>
    <mergeCell ref="K18:K20"/>
    <mergeCell ref="L18:M20"/>
    <mergeCell ref="L32:M32"/>
    <mergeCell ref="K28:N28"/>
    <mergeCell ref="L21:M21"/>
    <mergeCell ref="L27:M27"/>
    <mergeCell ref="L22:M22"/>
    <mergeCell ref="L26:M26"/>
    <mergeCell ref="L23:M23"/>
    <mergeCell ref="P38:Q38"/>
    <mergeCell ref="O29:O31"/>
    <mergeCell ref="P24:Q24"/>
    <mergeCell ref="P25:Q25"/>
    <mergeCell ref="L33:M33"/>
    <mergeCell ref="L35:M35"/>
    <mergeCell ref="P36:Q36"/>
    <mergeCell ref="L37:M37"/>
    <mergeCell ref="L46:M46"/>
    <mergeCell ref="H35:I35"/>
    <mergeCell ref="L25:M25"/>
    <mergeCell ref="H45:I45"/>
    <mergeCell ref="H36:I36"/>
    <mergeCell ref="L43:M43"/>
    <mergeCell ref="H38:I38"/>
    <mergeCell ref="L36:M36"/>
    <mergeCell ref="L34:M34"/>
    <mergeCell ref="L38:M38"/>
    <mergeCell ref="H48:I48"/>
    <mergeCell ref="B40:C42"/>
    <mergeCell ref="P34:Q34"/>
    <mergeCell ref="P35:Q35"/>
    <mergeCell ref="B49:C49"/>
    <mergeCell ref="P43:Q43"/>
    <mergeCell ref="P44:Q44"/>
    <mergeCell ref="P40:Q42"/>
    <mergeCell ref="O40:O42"/>
    <mergeCell ref="D48:E48"/>
    <mergeCell ref="L14:M14"/>
    <mergeCell ref="P12:Q12"/>
    <mergeCell ref="G29:G31"/>
    <mergeCell ref="H32:I32"/>
    <mergeCell ref="B50:F50"/>
    <mergeCell ref="H47:I47"/>
    <mergeCell ref="D46:E46"/>
    <mergeCell ref="H49:I49"/>
    <mergeCell ref="H46:I46"/>
    <mergeCell ref="D47:E47"/>
    <mergeCell ref="P21:Q21"/>
    <mergeCell ref="O18:O20"/>
    <mergeCell ref="P18:Q20"/>
    <mergeCell ref="O17:R17"/>
    <mergeCell ref="L12:M12"/>
    <mergeCell ref="P15:Q15"/>
    <mergeCell ref="P13:Q13"/>
    <mergeCell ref="P14:Q14"/>
    <mergeCell ref="L15:M15"/>
    <mergeCell ref="L13:M13"/>
    <mergeCell ref="P16:Q16"/>
    <mergeCell ref="H22:I22"/>
    <mergeCell ref="H25:I25"/>
    <mergeCell ref="B23:C23"/>
    <mergeCell ref="D23:E23"/>
    <mergeCell ref="B22:C22"/>
    <mergeCell ref="D22:E22"/>
    <mergeCell ref="H23:I23"/>
    <mergeCell ref="B24:C24"/>
    <mergeCell ref="L16:M16"/>
    <mergeCell ref="B14:C14"/>
    <mergeCell ref="D14:E14"/>
    <mergeCell ref="H16:I16"/>
    <mergeCell ref="H15:I15"/>
    <mergeCell ref="D16:E16"/>
    <mergeCell ref="B16:C16"/>
    <mergeCell ref="B15:C15"/>
    <mergeCell ref="D15:E15"/>
    <mergeCell ref="R6:R7"/>
    <mergeCell ref="R8:R9"/>
    <mergeCell ref="N6:N7"/>
    <mergeCell ref="N8:N9"/>
    <mergeCell ref="D13:E13"/>
    <mergeCell ref="B11:C11"/>
    <mergeCell ref="D12:E12"/>
    <mergeCell ref="B12:C12"/>
    <mergeCell ref="L5:M9"/>
    <mergeCell ref="B13:C13"/>
    <mergeCell ref="A4:A9"/>
    <mergeCell ref="P5:Q9"/>
    <mergeCell ref="O5:O9"/>
    <mergeCell ref="F7:F9"/>
    <mergeCell ref="D5:G6"/>
    <mergeCell ref="H5:J6"/>
    <mergeCell ref="B4:J4"/>
    <mergeCell ref="K5:K9"/>
    <mergeCell ref="O4:R4"/>
    <mergeCell ref="K4:N4"/>
    <mergeCell ref="P11:Q11"/>
    <mergeCell ref="D11:E11"/>
    <mergeCell ref="L11:M11"/>
    <mergeCell ref="B10:C10"/>
    <mergeCell ref="D10:E10"/>
    <mergeCell ref="L10:M10"/>
    <mergeCell ref="P10:Q10"/>
    <mergeCell ref="H10:I10"/>
    <mergeCell ref="A28:A31"/>
    <mergeCell ref="H29:I31"/>
    <mergeCell ref="B25:C25"/>
    <mergeCell ref="D24:E24"/>
    <mergeCell ref="D27:E27"/>
    <mergeCell ref="D25:E25"/>
    <mergeCell ref="G28:J28"/>
    <mergeCell ref="H27:I27"/>
    <mergeCell ref="D29:E31"/>
    <mergeCell ref="H26:I26"/>
    <mergeCell ref="H24:I24"/>
    <mergeCell ref="D32:E32"/>
    <mergeCell ref="D49:E49"/>
    <mergeCell ref="B45:C45"/>
    <mergeCell ref="B46:C46"/>
    <mergeCell ref="B44:C44"/>
    <mergeCell ref="B47:C47"/>
    <mergeCell ref="B48:C48"/>
    <mergeCell ref="H40:I42"/>
    <mergeCell ref="D44:E44"/>
    <mergeCell ref="D21:E21"/>
    <mergeCell ref="D18:E20"/>
    <mergeCell ref="A39:A42"/>
    <mergeCell ref="D40:E42"/>
    <mergeCell ref="H43:I43"/>
    <mergeCell ref="B43:C43"/>
    <mergeCell ref="B38:C38"/>
    <mergeCell ref="D38:E38"/>
    <mergeCell ref="D35:E35"/>
    <mergeCell ref="H34:I34"/>
    <mergeCell ref="B57:C57"/>
    <mergeCell ref="L58:M58"/>
    <mergeCell ref="A17:A20"/>
    <mergeCell ref="G18:G20"/>
    <mergeCell ref="B18:C20"/>
    <mergeCell ref="B21:C21"/>
    <mergeCell ref="G17:J17"/>
    <mergeCell ref="B17:F17"/>
    <mergeCell ref="H21:I21"/>
    <mergeCell ref="H18:I20"/>
    <mergeCell ref="A50:A53"/>
    <mergeCell ref="H51:I53"/>
    <mergeCell ref="G50:J50"/>
    <mergeCell ref="D56:E56"/>
    <mergeCell ref="B56:C56"/>
    <mergeCell ref="H55:I55"/>
    <mergeCell ref="H56:I56"/>
    <mergeCell ref="H58:I58"/>
    <mergeCell ref="D51:E53"/>
    <mergeCell ref="D58:E58"/>
    <mergeCell ref="H54:I54"/>
    <mergeCell ref="L59:M59"/>
    <mergeCell ref="D57:E57"/>
    <mergeCell ref="B55:C55"/>
    <mergeCell ref="B51:C53"/>
    <mergeCell ref="B59:C59"/>
    <mergeCell ref="D59:E59"/>
    <mergeCell ref="B58:C58"/>
    <mergeCell ref="H59:I59"/>
    <mergeCell ref="D54:E54"/>
    <mergeCell ref="G51:G53"/>
    <mergeCell ref="H57:I57"/>
    <mergeCell ref="D55:E55"/>
    <mergeCell ref="J7:J8"/>
    <mergeCell ref="H7:I9"/>
    <mergeCell ref="B5:C9"/>
    <mergeCell ref="G39:J39"/>
    <mergeCell ref="H13:I13"/>
    <mergeCell ref="H12:I12"/>
    <mergeCell ref="H11:I11"/>
    <mergeCell ref="H14:I14"/>
    <mergeCell ref="G7:G9"/>
    <mergeCell ref="D7:E9"/>
    <mergeCell ref="L45:M45"/>
    <mergeCell ref="D43:E43"/>
    <mergeCell ref="D45:E45"/>
    <mergeCell ref="G40:G42"/>
    <mergeCell ref="K40:K42"/>
    <mergeCell ref="H44:I44"/>
    <mergeCell ref="L40:M42"/>
    <mergeCell ref="B39:F39"/>
    <mergeCell ref="D36:E36"/>
    <mergeCell ref="B35:C35"/>
    <mergeCell ref="B36:C36"/>
    <mergeCell ref="B37:C37"/>
    <mergeCell ref="P37:Q37"/>
    <mergeCell ref="O39:R39"/>
    <mergeCell ref="D37:E37"/>
    <mergeCell ref="H37:I37"/>
    <mergeCell ref="B34:C34"/>
    <mergeCell ref="D34:E34"/>
    <mergeCell ref="D33:E33"/>
    <mergeCell ref="P22:Q22"/>
    <mergeCell ref="P23:Q23"/>
    <mergeCell ref="O28:R28"/>
    <mergeCell ref="P32:Q32"/>
    <mergeCell ref="P26:Q26"/>
    <mergeCell ref="P27:Q27"/>
    <mergeCell ref="P29:Q31"/>
    <mergeCell ref="D26:E26"/>
    <mergeCell ref="B28:F28"/>
    <mergeCell ref="B32:C32"/>
    <mergeCell ref="B26:C26"/>
    <mergeCell ref="B27:C27"/>
    <mergeCell ref="B33:C33"/>
    <mergeCell ref="B29:C31"/>
    <mergeCell ref="P48:Q48"/>
    <mergeCell ref="P45:Q45"/>
    <mergeCell ref="P49:Q49"/>
    <mergeCell ref="P59:Q59"/>
    <mergeCell ref="P46:Q46"/>
    <mergeCell ref="P47:Q47"/>
    <mergeCell ref="P58:Q58"/>
  </mergeCells>
  <printOptions/>
  <pageMargins left="0.7874015748031497" right="0.7874015748031497" top="0.7874015748031497" bottom="0.52" header="0.5118110236220472" footer="0.3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6.875" style="20" customWidth="1"/>
    <col min="2" max="5" width="3.50390625" style="20" customWidth="1"/>
    <col min="6" max="6" width="6.875" style="20" customWidth="1"/>
    <col min="7" max="7" width="6.25390625" style="20" customWidth="1"/>
    <col min="8" max="9" width="3.125" style="20" customWidth="1"/>
    <col min="10" max="11" width="6.25390625" style="20" customWidth="1"/>
    <col min="12" max="13" width="3.125" style="20" customWidth="1"/>
    <col min="14" max="15" width="6.25390625" style="20" customWidth="1"/>
    <col min="16" max="17" width="3.125" style="20" customWidth="1"/>
    <col min="18" max="18" width="6.25390625" style="20" customWidth="1"/>
    <col min="19" max="16384" width="9.00390625" style="20" customWidth="1"/>
  </cols>
  <sheetData>
    <row r="1" s="213" customFormat="1" ht="15.75" customHeight="1">
      <c r="A1" s="179" t="s">
        <v>320</v>
      </c>
    </row>
    <row r="2" spans="1:18" ht="18.75" customHeight="1">
      <c r="A2" s="9" t="s">
        <v>333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2" customHeigh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8" t="s">
        <v>0</v>
      </c>
    </row>
    <row r="4" spans="1:18" s="25" customFormat="1" ht="12.75" customHeight="1">
      <c r="A4" s="290" t="s">
        <v>1</v>
      </c>
      <c r="B4" s="276" t="s">
        <v>123</v>
      </c>
      <c r="C4" s="276"/>
      <c r="D4" s="276"/>
      <c r="E4" s="276"/>
      <c r="F4" s="276"/>
      <c r="G4" s="276" t="s">
        <v>157</v>
      </c>
      <c r="H4" s="276"/>
      <c r="I4" s="276"/>
      <c r="J4" s="276"/>
      <c r="K4" s="276" t="s">
        <v>158</v>
      </c>
      <c r="L4" s="276"/>
      <c r="M4" s="276"/>
      <c r="N4" s="276"/>
      <c r="O4" s="276" t="s">
        <v>159</v>
      </c>
      <c r="P4" s="276"/>
      <c r="Q4" s="276"/>
      <c r="R4" s="284"/>
    </row>
    <row r="5" spans="1:18" s="25" customFormat="1" ht="13.5" customHeight="1">
      <c r="A5" s="291"/>
      <c r="B5" s="285" t="s">
        <v>3</v>
      </c>
      <c r="C5" s="285"/>
      <c r="D5" s="285"/>
      <c r="E5" s="285" t="s">
        <v>145</v>
      </c>
      <c r="F5" s="285"/>
      <c r="G5" s="285" t="s">
        <v>3</v>
      </c>
      <c r="H5" s="285"/>
      <c r="I5" s="285" t="s">
        <v>145</v>
      </c>
      <c r="J5" s="285"/>
      <c r="K5" s="285" t="s">
        <v>3</v>
      </c>
      <c r="L5" s="285"/>
      <c r="M5" s="285" t="s">
        <v>145</v>
      </c>
      <c r="N5" s="285"/>
      <c r="O5" s="285" t="s">
        <v>3</v>
      </c>
      <c r="P5" s="285"/>
      <c r="Q5" s="285" t="s">
        <v>145</v>
      </c>
      <c r="R5" s="286"/>
    </row>
    <row r="6" spans="1:18" s="25" customFormat="1" ht="3.75" customHeight="1">
      <c r="A6" s="28"/>
      <c r="B6" s="277"/>
      <c r="C6" s="277"/>
      <c r="D6" s="277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</row>
    <row r="7" spans="1:18" s="25" customFormat="1" ht="12.75" customHeight="1">
      <c r="A7" s="132" t="s">
        <v>324</v>
      </c>
      <c r="B7" s="307">
        <v>152098</v>
      </c>
      <c r="C7" s="312"/>
      <c r="D7" s="312"/>
      <c r="E7" s="313">
        <f>I7+M7+Q7</f>
        <v>100</v>
      </c>
      <c r="F7" s="313"/>
      <c r="G7" s="312">
        <v>27229</v>
      </c>
      <c r="H7" s="312"/>
      <c r="I7" s="313">
        <f>G7/B7*100</f>
        <v>17.90227353416876</v>
      </c>
      <c r="J7" s="313"/>
      <c r="K7" s="312">
        <v>111449</v>
      </c>
      <c r="L7" s="312"/>
      <c r="M7" s="313">
        <f>K7/B7*100</f>
        <v>73.27446777735408</v>
      </c>
      <c r="N7" s="313"/>
      <c r="O7" s="312">
        <v>13420</v>
      </c>
      <c r="P7" s="312"/>
      <c r="Q7" s="313">
        <f>O7/B7*100</f>
        <v>8.823258688477166</v>
      </c>
      <c r="R7" s="313"/>
    </row>
    <row r="8" spans="1:18" s="25" customFormat="1" ht="12.75" customHeight="1">
      <c r="A8" s="132" t="s">
        <v>325</v>
      </c>
      <c r="B8" s="307">
        <v>158858</v>
      </c>
      <c r="C8" s="312"/>
      <c r="D8" s="312"/>
      <c r="E8" s="313">
        <f>I8+M8+Q8</f>
        <v>100</v>
      </c>
      <c r="F8" s="313"/>
      <c r="G8" s="312">
        <v>22069</v>
      </c>
      <c r="H8" s="312"/>
      <c r="I8" s="313">
        <f>G8/B8*100</f>
        <v>13.892281156756347</v>
      </c>
      <c r="J8" s="313"/>
      <c r="K8" s="312">
        <v>116441</v>
      </c>
      <c r="L8" s="312"/>
      <c r="M8" s="313">
        <f>K8/B8*100</f>
        <v>73.29879515038587</v>
      </c>
      <c r="N8" s="313"/>
      <c r="O8" s="312">
        <v>20348</v>
      </c>
      <c r="P8" s="312"/>
      <c r="Q8" s="313">
        <f>O8/B8*100</f>
        <v>12.808923692857771</v>
      </c>
      <c r="R8" s="313"/>
    </row>
    <row r="9" spans="1:18" s="25" customFormat="1" ht="3" customHeight="1">
      <c r="A9" s="132"/>
      <c r="B9" s="46"/>
      <c r="C9" s="127"/>
      <c r="D9" s="127"/>
      <c r="E9" s="113"/>
      <c r="F9" s="113"/>
      <c r="G9" s="127"/>
      <c r="H9" s="127"/>
      <c r="I9" s="113"/>
      <c r="J9" s="113"/>
      <c r="K9" s="127"/>
      <c r="L9" s="127"/>
      <c r="M9" s="113"/>
      <c r="N9" s="113"/>
      <c r="O9" s="127"/>
      <c r="P9" s="127"/>
      <c r="Q9" s="113"/>
      <c r="R9" s="113"/>
    </row>
    <row r="10" spans="1:18" s="25" customFormat="1" ht="12.75" customHeight="1">
      <c r="A10" s="132">
        <v>19</v>
      </c>
      <c r="B10" s="307">
        <f>SUM(G10,K10,O10)</f>
        <v>171325</v>
      </c>
      <c r="C10" s="312"/>
      <c r="D10" s="312"/>
      <c r="E10" s="313">
        <f>I10+M10+Q10</f>
        <v>100</v>
      </c>
      <c r="F10" s="313"/>
      <c r="G10" s="314">
        <v>22601</v>
      </c>
      <c r="H10" s="314"/>
      <c r="I10" s="313">
        <f>G10/B10*100</f>
        <v>13.191886764920474</v>
      </c>
      <c r="J10" s="313"/>
      <c r="K10" s="314">
        <v>117883</v>
      </c>
      <c r="L10" s="314"/>
      <c r="M10" s="313">
        <f>K10/B10*100</f>
        <v>68.80665402013717</v>
      </c>
      <c r="N10" s="313"/>
      <c r="O10" s="314">
        <v>30841</v>
      </c>
      <c r="P10" s="314"/>
      <c r="Q10" s="313">
        <f>O10/B10*100</f>
        <v>18.00145921494236</v>
      </c>
      <c r="R10" s="313"/>
    </row>
    <row r="11" spans="1:18" s="25" customFormat="1" ht="12.75" customHeight="1">
      <c r="A11" s="132">
        <v>20</v>
      </c>
      <c r="B11" s="307">
        <f>SUM(G11,K11,O11)</f>
        <v>172547</v>
      </c>
      <c r="C11" s="312"/>
      <c r="D11" s="312"/>
      <c r="E11" s="313">
        <f>I11+M11+Q11</f>
        <v>100</v>
      </c>
      <c r="F11" s="313"/>
      <c r="G11" s="312">
        <v>22608</v>
      </c>
      <c r="H11" s="312"/>
      <c r="I11" s="313">
        <f>G11/B11*100</f>
        <v>13.10251699536938</v>
      </c>
      <c r="J11" s="313"/>
      <c r="K11" s="312">
        <v>117794</v>
      </c>
      <c r="L11" s="312"/>
      <c r="M11" s="313">
        <f>K11/B11*100</f>
        <v>68.26777631601824</v>
      </c>
      <c r="N11" s="313"/>
      <c r="O11" s="312">
        <v>32145</v>
      </c>
      <c r="P11" s="312"/>
      <c r="Q11" s="313">
        <f>O11/B11*100</f>
        <v>18.629706688612377</v>
      </c>
      <c r="R11" s="313"/>
    </row>
    <row r="12" spans="1:18" s="25" customFormat="1" ht="12.75" customHeight="1">
      <c r="A12" s="132">
        <v>21</v>
      </c>
      <c r="B12" s="306">
        <f>SUM(G12,K12,O12)</f>
        <v>173692</v>
      </c>
      <c r="C12" s="307"/>
      <c r="D12" s="307"/>
      <c r="E12" s="310">
        <f>I12+M12+Q12</f>
        <v>100</v>
      </c>
      <c r="F12" s="310"/>
      <c r="G12" s="307">
        <v>22759</v>
      </c>
      <c r="H12" s="307"/>
      <c r="I12" s="310">
        <f>G12/B12*100</f>
        <v>13.103079013426063</v>
      </c>
      <c r="J12" s="310"/>
      <c r="K12" s="307">
        <v>117413</v>
      </c>
      <c r="L12" s="307"/>
      <c r="M12" s="310">
        <f>K12/B12*100</f>
        <v>67.59839255693987</v>
      </c>
      <c r="N12" s="310"/>
      <c r="O12" s="307">
        <v>33520</v>
      </c>
      <c r="P12" s="307"/>
      <c r="Q12" s="310">
        <f>O12/B12*100</f>
        <v>19.298528429634064</v>
      </c>
      <c r="R12" s="310"/>
    </row>
    <row r="13" spans="1:18" s="25" customFormat="1" ht="12.75" customHeight="1">
      <c r="A13" s="132">
        <v>22</v>
      </c>
      <c r="B13" s="306">
        <f>SUM(G13,K13,O13)</f>
        <v>174458</v>
      </c>
      <c r="C13" s="307"/>
      <c r="D13" s="307"/>
      <c r="E13" s="310">
        <f>I13+M13+Q13</f>
        <v>100</v>
      </c>
      <c r="F13" s="310"/>
      <c r="G13" s="307">
        <v>22594</v>
      </c>
      <c r="H13" s="307"/>
      <c r="I13" s="310">
        <f>G13/B13*100</f>
        <v>12.950968141329145</v>
      </c>
      <c r="J13" s="310"/>
      <c r="K13" s="307">
        <v>117082</v>
      </c>
      <c r="L13" s="307"/>
      <c r="M13" s="310">
        <f>K13/B13*100</f>
        <v>67.11185500235014</v>
      </c>
      <c r="N13" s="310"/>
      <c r="O13" s="307">
        <v>34782</v>
      </c>
      <c r="P13" s="307"/>
      <c r="Q13" s="310">
        <f>O13/B13*100</f>
        <v>19.93717685632072</v>
      </c>
      <c r="R13" s="310"/>
    </row>
    <row r="14" spans="1:18" s="192" customFormat="1" ht="12.75" customHeight="1">
      <c r="A14" s="198">
        <v>23</v>
      </c>
      <c r="B14" s="308">
        <f>SUM(G14,K14,O14)</f>
        <v>174920</v>
      </c>
      <c r="C14" s="309"/>
      <c r="D14" s="309"/>
      <c r="E14" s="317">
        <f>I14+M14+Q14</f>
        <v>100</v>
      </c>
      <c r="F14" s="317"/>
      <c r="G14" s="309">
        <v>22555</v>
      </c>
      <c r="H14" s="309"/>
      <c r="I14" s="317">
        <f>G14/B14*100</f>
        <v>12.894466041619026</v>
      </c>
      <c r="J14" s="317"/>
      <c r="K14" s="309">
        <v>116753</v>
      </c>
      <c r="L14" s="309"/>
      <c r="M14" s="317">
        <f>K14/B14*100</f>
        <v>66.74651269151613</v>
      </c>
      <c r="N14" s="317"/>
      <c r="O14" s="309">
        <v>35612</v>
      </c>
      <c r="P14" s="309"/>
      <c r="Q14" s="317">
        <f>O14/B14*100</f>
        <v>20.35902126686485</v>
      </c>
      <c r="R14" s="317"/>
    </row>
    <row r="15" spans="1:18" s="25" customFormat="1" ht="3.75" customHeight="1">
      <c r="A15" s="145"/>
      <c r="B15" s="316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</row>
    <row r="16" spans="1:18" ht="12.75" customHeight="1">
      <c r="A16" s="164" t="s">
        <v>223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</row>
    <row r="17" ht="13.5">
      <c r="A17" s="25"/>
    </row>
  </sheetData>
  <sheetProtection/>
  <mergeCells count="85">
    <mergeCell ref="K11:L11"/>
    <mergeCell ref="Q10:R10"/>
    <mergeCell ref="O10:P10"/>
    <mergeCell ref="O11:P11"/>
    <mergeCell ref="O13:P13"/>
    <mergeCell ref="M11:N11"/>
    <mergeCell ref="K12:L12"/>
    <mergeCell ref="M10:N10"/>
    <mergeCell ref="Q8:R8"/>
    <mergeCell ref="M7:N7"/>
    <mergeCell ref="O7:P7"/>
    <mergeCell ref="Q7:R7"/>
    <mergeCell ref="Q14:R14"/>
    <mergeCell ref="Q11:R11"/>
    <mergeCell ref="M15:N15"/>
    <mergeCell ref="M13:N13"/>
    <mergeCell ref="M14:N14"/>
    <mergeCell ref="O15:P15"/>
    <mergeCell ref="O14:P14"/>
    <mergeCell ref="O8:P8"/>
    <mergeCell ref="M8:N8"/>
    <mergeCell ref="K6:L6"/>
    <mergeCell ref="K10:L10"/>
    <mergeCell ref="I8:J8"/>
    <mergeCell ref="K8:L8"/>
    <mergeCell ref="K7:L7"/>
    <mergeCell ref="I7:J7"/>
    <mergeCell ref="I10:J10"/>
    <mergeCell ref="G13:H13"/>
    <mergeCell ref="I13:J13"/>
    <mergeCell ref="I6:J6"/>
    <mergeCell ref="E12:F12"/>
    <mergeCell ref="G12:H12"/>
    <mergeCell ref="I12:J12"/>
    <mergeCell ref="E7:F7"/>
    <mergeCell ref="G8:H8"/>
    <mergeCell ref="G7:H7"/>
    <mergeCell ref="G11:H11"/>
    <mergeCell ref="I15:J15"/>
    <mergeCell ref="B12:D12"/>
    <mergeCell ref="M12:N12"/>
    <mergeCell ref="K15:L15"/>
    <mergeCell ref="K13:L13"/>
    <mergeCell ref="E14:F14"/>
    <mergeCell ref="G14:H14"/>
    <mergeCell ref="I14:J14"/>
    <mergeCell ref="K14:L14"/>
    <mergeCell ref="E13:F13"/>
    <mergeCell ref="B7:D7"/>
    <mergeCell ref="B8:D8"/>
    <mergeCell ref="E8:F8"/>
    <mergeCell ref="B11:D11"/>
    <mergeCell ref="E11:F11"/>
    <mergeCell ref="Q15:R15"/>
    <mergeCell ref="B15:D15"/>
    <mergeCell ref="E15:F15"/>
    <mergeCell ref="I11:J11"/>
    <mergeCell ref="G15:H15"/>
    <mergeCell ref="A4:A5"/>
    <mergeCell ref="B4:F4"/>
    <mergeCell ref="O6:P6"/>
    <mergeCell ref="O5:P5"/>
    <mergeCell ref="G6:H6"/>
    <mergeCell ref="G5:H5"/>
    <mergeCell ref="B5:D5"/>
    <mergeCell ref="B6:D6"/>
    <mergeCell ref="E6:F6"/>
    <mergeCell ref="M6:N6"/>
    <mergeCell ref="O4:R4"/>
    <mergeCell ref="I5:J5"/>
    <mergeCell ref="K5:L5"/>
    <mergeCell ref="M5:N5"/>
    <mergeCell ref="Q5:R5"/>
    <mergeCell ref="G4:J4"/>
    <mergeCell ref="K4:N4"/>
    <mergeCell ref="E5:F5"/>
    <mergeCell ref="B13:D13"/>
    <mergeCell ref="B14:D14"/>
    <mergeCell ref="Q12:R12"/>
    <mergeCell ref="O12:P12"/>
    <mergeCell ref="Q13:R13"/>
    <mergeCell ref="Q6:R6"/>
    <mergeCell ref="B10:D10"/>
    <mergeCell ref="E10:F10"/>
    <mergeCell ref="G10:H10"/>
  </mergeCells>
  <printOptions/>
  <pageMargins left="0.7874015748031497" right="0.7874015748031497" top="0.7874015748031497" bottom="0.52" header="0.5118110236220472" footer="0.3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35" sqref="E35"/>
    </sheetView>
  </sheetViews>
  <sheetFormatPr defaultColWidth="9.00390625" defaultRowHeight="13.5"/>
  <cols>
    <col min="1" max="1" width="5.125" style="175" customWidth="1"/>
    <col min="2" max="2" width="3.625" style="175" customWidth="1"/>
    <col min="3" max="5" width="3.50390625" style="175" customWidth="1"/>
    <col min="6" max="10" width="6.625" style="175" customWidth="1"/>
    <col min="11" max="11" width="8.00390625" style="175" customWidth="1"/>
    <col min="12" max="18" width="6.625" style="175" customWidth="1"/>
    <col min="19" max="16384" width="9.00390625" style="175" customWidth="1"/>
  </cols>
  <sheetData>
    <row r="1" s="213" customFormat="1" ht="15.75" customHeight="1">
      <c r="A1" s="179" t="s">
        <v>320</v>
      </c>
    </row>
    <row r="2" spans="1:18" ht="19.5" customHeight="1">
      <c r="A2" s="9" t="s">
        <v>334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9"/>
      <c r="Q2" s="9"/>
      <c r="R2" s="9"/>
    </row>
    <row r="3" spans="1:15" ht="13.5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5" s="186" customFormat="1" ht="13.5">
      <c r="A4" s="326" t="s">
        <v>128</v>
      </c>
      <c r="B4" s="223"/>
      <c r="C4" s="322" t="s">
        <v>35</v>
      </c>
      <c r="D4" s="322"/>
      <c r="E4" s="322"/>
      <c r="F4" s="322" t="s">
        <v>36</v>
      </c>
      <c r="G4" s="322"/>
      <c r="H4" s="322"/>
      <c r="I4" s="322" t="s">
        <v>39</v>
      </c>
      <c r="J4" s="322"/>
      <c r="K4" s="322"/>
      <c r="L4" s="322"/>
      <c r="M4" s="322"/>
      <c r="N4" s="322"/>
      <c r="O4" s="323"/>
    </row>
    <row r="5" spans="1:15" s="186" customFormat="1" ht="13.5">
      <c r="A5" s="256"/>
      <c r="B5" s="262"/>
      <c r="C5" s="324"/>
      <c r="D5" s="324"/>
      <c r="E5" s="324"/>
      <c r="F5" s="324" t="s">
        <v>35</v>
      </c>
      <c r="G5" s="324" t="s">
        <v>129</v>
      </c>
      <c r="H5" s="324" t="s">
        <v>130</v>
      </c>
      <c r="I5" s="324" t="s">
        <v>35</v>
      </c>
      <c r="J5" s="324" t="s">
        <v>135</v>
      </c>
      <c r="K5" s="324"/>
      <c r="L5" s="324"/>
      <c r="M5" s="324" t="s">
        <v>42</v>
      </c>
      <c r="N5" s="324"/>
      <c r="O5" s="325"/>
    </row>
    <row r="6" spans="1:15" s="186" customFormat="1" ht="13.5">
      <c r="A6" s="327"/>
      <c r="B6" s="224"/>
      <c r="C6" s="324"/>
      <c r="D6" s="324"/>
      <c r="E6" s="324"/>
      <c r="F6" s="324"/>
      <c r="G6" s="324"/>
      <c r="H6" s="324"/>
      <c r="I6" s="324"/>
      <c r="J6" s="35" t="s">
        <v>35</v>
      </c>
      <c r="K6" s="35" t="s">
        <v>131</v>
      </c>
      <c r="L6" s="35" t="s">
        <v>132</v>
      </c>
      <c r="M6" s="35" t="s">
        <v>35</v>
      </c>
      <c r="N6" s="35" t="s">
        <v>133</v>
      </c>
      <c r="O6" s="40" t="s">
        <v>134</v>
      </c>
    </row>
    <row r="7" spans="1:15" s="187" customFormat="1" ht="3.75" customHeight="1">
      <c r="A7" s="76"/>
      <c r="B7" s="122"/>
      <c r="C7" s="76"/>
      <c r="D7" s="328"/>
      <c r="E7" s="328"/>
      <c r="F7" s="20"/>
      <c r="G7" s="20"/>
      <c r="H7" s="76"/>
      <c r="I7" s="20"/>
      <c r="J7" s="20"/>
      <c r="K7" s="76"/>
      <c r="L7" s="20"/>
      <c r="M7" s="20"/>
      <c r="N7" s="76"/>
      <c r="O7" s="20"/>
    </row>
    <row r="8" spans="1:15" s="20" customFormat="1" ht="13.5" customHeight="1">
      <c r="A8" s="256">
        <v>18</v>
      </c>
      <c r="B8" s="262"/>
      <c r="C8" s="321">
        <v>1557</v>
      </c>
      <c r="D8" s="321"/>
      <c r="E8" s="321"/>
      <c r="F8" s="19">
        <v>294</v>
      </c>
      <c r="G8" s="17">
        <v>1550</v>
      </c>
      <c r="H8" s="43">
        <v>1256</v>
      </c>
      <c r="I8" s="19">
        <v>1263</v>
      </c>
      <c r="J8" s="19">
        <v>1294</v>
      </c>
      <c r="K8" s="34">
        <v>11231</v>
      </c>
      <c r="L8" s="19">
        <v>9937</v>
      </c>
      <c r="M8" s="19">
        <v>-31</v>
      </c>
      <c r="N8" s="34">
        <v>531</v>
      </c>
      <c r="O8" s="19">
        <v>562</v>
      </c>
    </row>
    <row r="9" spans="1:15" s="20" customFormat="1" ht="13.5" customHeight="1">
      <c r="A9" s="256">
        <v>19</v>
      </c>
      <c r="B9" s="262"/>
      <c r="C9" s="321">
        <v>1226</v>
      </c>
      <c r="D9" s="321"/>
      <c r="E9" s="321"/>
      <c r="F9" s="19">
        <v>259</v>
      </c>
      <c r="G9" s="17">
        <v>1552</v>
      </c>
      <c r="H9" s="43">
        <v>1293</v>
      </c>
      <c r="I9" s="19">
        <v>967</v>
      </c>
      <c r="J9" s="19">
        <v>848</v>
      </c>
      <c r="K9" s="34">
        <v>10738</v>
      </c>
      <c r="L9" s="19">
        <v>9890</v>
      </c>
      <c r="M9" s="19">
        <v>119</v>
      </c>
      <c r="N9" s="34">
        <v>487</v>
      </c>
      <c r="O9" s="19">
        <v>368</v>
      </c>
    </row>
    <row r="10" spans="1:15" s="20" customFormat="1" ht="13.5" customHeight="1">
      <c r="A10" s="256">
        <v>20</v>
      </c>
      <c r="B10" s="262"/>
      <c r="C10" s="321">
        <v>1145</v>
      </c>
      <c r="D10" s="321"/>
      <c r="E10" s="321"/>
      <c r="F10" s="19">
        <v>288</v>
      </c>
      <c r="G10" s="17">
        <v>1569</v>
      </c>
      <c r="H10" s="43">
        <v>1281</v>
      </c>
      <c r="I10" s="19">
        <v>857</v>
      </c>
      <c r="J10" s="19">
        <v>745</v>
      </c>
      <c r="K10" s="34">
        <v>10635</v>
      </c>
      <c r="L10" s="19">
        <v>9890</v>
      </c>
      <c r="M10" s="19">
        <v>112</v>
      </c>
      <c r="N10" s="34">
        <v>465</v>
      </c>
      <c r="O10" s="19">
        <v>353</v>
      </c>
    </row>
    <row r="11" spans="1:15" s="20" customFormat="1" ht="13.5" customHeight="1">
      <c r="A11" s="256">
        <v>21</v>
      </c>
      <c r="B11" s="262"/>
      <c r="C11" s="329">
        <v>772</v>
      </c>
      <c r="D11" s="321"/>
      <c r="E11" s="321"/>
      <c r="F11" s="18">
        <v>131</v>
      </c>
      <c r="G11" s="29">
        <v>1469</v>
      </c>
      <c r="H11" s="29">
        <v>1338</v>
      </c>
      <c r="I11" s="18">
        <v>641</v>
      </c>
      <c r="J11" s="18">
        <v>515</v>
      </c>
      <c r="K11" s="18">
        <v>10481</v>
      </c>
      <c r="L11" s="18">
        <v>9966</v>
      </c>
      <c r="M11" s="18">
        <v>126</v>
      </c>
      <c r="N11" s="18">
        <v>580</v>
      </c>
      <c r="O11" s="18">
        <v>454</v>
      </c>
    </row>
    <row r="12" spans="1:15" ht="13.5" customHeight="1">
      <c r="A12" s="258">
        <v>22</v>
      </c>
      <c r="B12" s="263"/>
      <c r="C12" s="319">
        <f>F12+I12</f>
        <v>457</v>
      </c>
      <c r="D12" s="320"/>
      <c r="E12" s="320"/>
      <c r="F12" s="7">
        <f>G12-H12</f>
        <v>114</v>
      </c>
      <c r="G12" s="5">
        <f>SUM(G14:G25)</f>
        <v>1495</v>
      </c>
      <c r="H12" s="5">
        <f>SUM(H14:H25)</f>
        <v>1381</v>
      </c>
      <c r="I12" s="7">
        <f>J12+M12</f>
        <v>343</v>
      </c>
      <c r="J12" s="7">
        <f>K12-L12</f>
        <v>296</v>
      </c>
      <c r="K12" s="5">
        <f>SUM(K14:K25)</f>
        <v>10013</v>
      </c>
      <c r="L12" s="5">
        <f>SUM(L14:L25)</f>
        <v>9717</v>
      </c>
      <c r="M12" s="7">
        <f>N12-O12</f>
        <v>47</v>
      </c>
      <c r="N12" s="5">
        <f>SUM(N14:N25)</f>
        <v>519</v>
      </c>
      <c r="O12" s="5">
        <f>SUM(O14:O25)</f>
        <v>472</v>
      </c>
    </row>
    <row r="13" spans="1:15" s="187" customFormat="1" ht="4.5" customHeight="1">
      <c r="A13" s="23"/>
      <c r="B13" s="92"/>
      <c r="C13" s="24"/>
      <c r="D13" s="328"/>
      <c r="E13" s="328"/>
      <c r="F13" s="19"/>
      <c r="G13" s="17"/>
      <c r="H13" s="43"/>
      <c r="I13" s="19"/>
      <c r="J13" s="19"/>
      <c r="K13" s="34"/>
      <c r="L13" s="19"/>
      <c r="M13" s="19"/>
      <c r="N13" s="34"/>
      <c r="O13" s="19"/>
    </row>
    <row r="14" spans="1:15" s="187" customFormat="1" ht="13.5" customHeight="1">
      <c r="A14" s="78">
        <v>22</v>
      </c>
      <c r="B14" s="120" t="s">
        <v>246</v>
      </c>
      <c r="C14" s="119"/>
      <c r="D14" s="318">
        <f>SUM(F14,I14)</f>
        <v>-61</v>
      </c>
      <c r="E14" s="318"/>
      <c r="F14" s="18">
        <f>G14-H14</f>
        <v>-13</v>
      </c>
      <c r="G14" s="29">
        <v>124</v>
      </c>
      <c r="H14" s="115">
        <v>137</v>
      </c>
      <c r="I14" s="18">
        <f>SUM(J14,M14)</f>
        <v>-48</v>
      </c>
      <c r="J14" s="18">
        <f>K14-L14</f>
        <v>-19</v>
      </c>
      <c r="K14" s="181">
        <v>579</v>
      </c>
      <c r="L14" s="18">
        <v>598</v>
      </c>
      <c r="M14" s="18">
        <f>N14-O14</f>
        <v>-29</v>
      </c>
      <c r="N14" s="181">
        <v>40</v>
      </c>
      <c r="O14" s="18">
        <v>69</v>
      </c>
    </row>
    <row r="15" spans="1:15" s="187" customFormat="1" ht="13.5" customHeight="1">
      <c r="A15" s="23"/>
      <c r="B15" s="120" t="s">
        <v>247</v>
      </c>
      <c r="C15" s="119"/>
      <c r="D15" s="318">
        <f aca="true" t="shared" si="0" ref="D15:D25">SUM(F15,I15)</f>
        <v>-95</v>
      </c>
      <c r="E15" s="318"/>
      <c r="F15" s="18">
        <f aca="true" t="shared" si="1" ref="F15:F25">G15-H15</f>
        <v>6</v>
      </c>
      <c r="G15" s="29">
        <v>110</v>
      </c>
      <c r="H15" s="115">
        <v>104</v>
      </c>
      <c r="I15" s="18">
        <f aca="true" t="shared" si="2" ref="I15:I25">SUM(J15,M15)</f>
        <v>-101</v>
      </c>
      <c r="J15" s="18">
        <f aca="true" t="shared" si="3" ref="J15:J25">K15-L15</f>
        <v>-113</v>
      </c>
      <c r="K15" s="181">
        <v>629</v>
      </c>
      <c r="L15" s="18">
        <v>742</v>
      </c>
      <c r="M15" s="18">
        <f aca="true" t="shared" si="4" ref="M15:M25">N15-O15</f>
        <v>12</v>
      </c>
      <c r="N15" s="181">
        <v>33</v>
      </c>
      <c r="O15" s="18">
        <v>21</v>
      </c>
    </row>
    <row r="16" spans="1:15" s="187" customFormat="1" ht="13.5" customHeight="1">
      <c r="A16" s="23"/>
      <c r="B16" s="120" t="s">
        <v>210</v>
      </c>
      <c r="C16" s="119"/>
      <c r="D16" s="318">
        <f t="shared" si="0"/>
        <v>43</v>
      </c>
      <c r="E16" s="318"/>
      <c r="F16" s="18">
        <f t="shared" si="1"/>
        <v>-2</v>
      </c>
      <c r="G16" s="29">
        <v>131</v>
      </c>
      <c r="H16" s="115">
        <v>133</v>
      </c>
      <c r="I16" s="18">
        <f t="shared" si="2"/>
        <v>45</v>
      </c>
      <c r="J16" s="18">
        <f t="shared" si="3"/>
        <v>7</v>
      </c>
      <c r="K16" s="181">
        <v>1801</v>
      </c>
      <c r="L16" s="18">
        <v>1794</v>
      </c>
      <c r="M16" s="18">
        <f t="shared" si="4"/>
        <v>38</v>
      </c>
      <c r="N16" s="181">
        <v>78</v>
      </c>
      <c r="O16" s="18">
        <v>40</v>
      </c>
    </row>
    <row r="17" spans="1:15" s="187" customFormat="1" ht="13.5" customHeight="1">
      <c r="A17" s="23"/>
      <c r="B17" s="120" t="s">
        <v>211</v>
      </c>
      <c r="C17" s="119"/>
      <c r="D17" s="318">
        <f t="shared" si="0"/>
        <v>352</v>
      </c>
      <c r="E17" s="318"/>
      <c r="F17" s="18">
        <f t="shared" si="1"/>
        <v>6</v>
      </c>
      <c r="G17" s="29">
        <v>110</v>
      </c>
      <c r="H17" s="115">
        <v>104</v>
      </c>
      <c r="I17" s="18">
        <f t="shared" si="2"/>
        <v>346</v>
      </c>
      <c r="J17" s="18">
        <f t="shared" si="3"/>
        <v>332</v>
      </c>
      <c r="K17" s="181">
        <v>1389</v>
      </c>
      <c r="L17" s="18">
        <v>1057</v>
      </c>
      <c r="M17" s="18">
        <f t="shared" si="4"/>
        <v>14</v>
      </c>
      <c r="N17" s="181">
        <v>37</v>
      </c>
      <c r="O17" s="18">
        <v>23</v>
      </c>
    </row>
    <row r="18" spans="1:15" s="187" customFormat="1" ht="13.5" customHeight="1">
      <c r="A18" s="23"/>
      <c r="B18" s="120" t="s">
        <v>212</v>
      </c>
      <c r="C18" s="119"/>
      <c r="D18" s="318">
        <f t="shared" si="0"/>
        <v>46</v>
      </c>
      <c r="E18" s="318"/>
      <c r="F18" s="18">
        <f t="shared" si="1"/>
        <v>-7</v>
      </c>
      <c r="G18" s="29">
        <v>111</v>
      </c>
      <c r="H18" s="115">
        <v>118</v>
      </c>
      <c r="I18" s="18">
        <f t="shared" si="2"/>
        <v>53</v>
      </c>
      <c r="J18" s="18">
        <f t="shared" si="3"/>
        <v>34</v>
      </c>
      <c r="K18" s="181">
        <v>667</v>
      </c>
      <c r="L18" s="18">
        <v>633</v>
      </c>
      <c r="M18" s="18">
        <f t="shared" si="4"/>
        <v>19</v>
      </c>
      <c r="N18" s="181">
        <v>39</v>
      </c>
      <c r="O18" s="18">
        <v>20</v>
      </c>
    </row>
    <row r="19" spans="1:15" s="187" customFormat="1" ht="13.5" customHeight="1">
      <c r="A19" s="23"/>
      <c r="B19" s="120" t="s">
        <v>213</v>
      </c>
      <c r="C19" s="119"/>
      <c r="D19" s="318">
        <f t="shared" si="0"/>
        <v>87</v>
      </c>
      <c r="E19" s="318"/>
      <c r="F19" s="18">
        <f t="shared" si="1"/>
        <v>25</v>
      </c>
      <c r="G19" s="29">
        <v>137</v>
      </c>
      <c r="H19" s="115">
        <v>112</v>
      </c>
      <c r="I19" s="18">
        <f t="shared" si="2"/>
        <v>62</v>
      </c>
      <c r="J19" s="18">
        <f t="shared" si="3"/>
        <v>19</v>
      </c>
      <c r="K19" s="181">
        <v>671</v>
      </c>
      <c r="L19" s="18">
        <v>652</v>
      </c>
      <c r="M19" s="18">
        <f t="shared" si="4"/>
        <v>43</v>
      </c>
      <c r="N19" s="181">
        <v>54</v>
      </c>
      <c r="O19" s="18">
        <v>11</v>
      </c>
    </row>
    <row r="20" spans="1:15" s="187" customFormat="1" ht="13.5" customHeight="1">
      <c r="A20" s="23"/>
      <c r="B20" s="120" t="s">
        <v>214</v>
      </c>
      <c r="C20" s="119"/>
      <c r="D20" s="318">
        <f t="shared" si="0"/>
        <v>84</v>
      </c>
      <c r="E20" s="318"/>
      <c r="F20" s="18">
        <f t="shared" si="1"/>
        <v>8</v>
      </c>
      <c r="G20" s="29">
        <v>119</v>
      </c>
      <c r="H20" s="115">
        <v>111</v>
      </c>
      <c r="I20" s="18">
        <f t="shared" si="2"/>
        <v>76</v>
      </c>
      <c r="J20" s="18">
        <f t="shared" si="3"/>
        <v>89</v>
      </c>
      <c r="K20" s="181">
        <v>764</v>
      </c>
      <c r="L20" s="18">
        <v>675</v>
      </c>
      <c r="M20" s="18">
        <f t="shared" si="4"/>
        <v>-13</v>
      </c>
      <c r="N20" s="181">
        <v>54</v>
      </c>
      <c r="O20" s="18">
        <v>67</v>
      </c>
    </row>
    <row r="21" spans="1:15" s="187" customFormat="1" ht="13.5" customHeight="1">
      <c r="A21" s="23"/>
      <c r="B21" s="120" t="s">
        <v>215</v>
      </c>
      <c r="C21" s="119"/>
      <c r="D21" s="318">
        <f t="shared" si="0"/>
        <v>-44</v>
      </c>
      <c r="E21" s="318"/>
      <c r="F21" s="18">
        <f t="shared" si="1"/>
        <v>-13</v>
      </c>
      <c r="G21" s="29">
        <v>119</v>
      </c>
      <c r="H21" s="115">
        <v>132</v>
      </c>
      <c r="I21" s="18">
        <f t="shared" si="2"/>
        <v>-31</v>
      </c>
      <c r="J21" s="18">
        <f t="shared" si="3"/>
        <v>-10</v>
      </c>
      <c r="K21" s="181">
        <v>788</v>
      </c>
      <c r="L21" s="18">
        <v>798</v>
      </c>
      <c r="M21" s="18">
        <f t="shared" si="4"/>
        <v>-21</v>
      </c>
      <c r="N21" s="181">
        <v>33</v>
      </c>
      <c r="O21" s="18">
        <v>54</v>
      </c>
    </row>
    <row r="22" spans="1:15" s="187" customFormat="1" ht="13.5" customHeight="1">
      <c r="A22" s="23"/>
      <c r="B22" s="120" t="s">
        <v>216</v>
      </c>
      <c r="C22" s="119"/>
      <c r="D22" s="318">
        <f t="shared" si="0"/>
        <v>58</v>
      </c>
      <c r="E22" s="318"/>
      <c r="F22" s="18">
        <f t="shared" si="1"/>
        <v>31</v>
      </c>
      <c r="G22" s="29">
        <v>129</v>
      </c>
      <c r="H22" s="115">
        <v>98</v>
      </c>
      <c r="I22" s="18">
        <f t="shared" si="2"/>
        <v>27</v>
      </c>
      <c r="J22" s="18">
        <f t="shared" si="3"/>
        <v>18</v>
      </c>
      <c r="K22" s="181">
        <v>647</v>
      </c>
      <c r="L22" s="18">
        <v>629</v>
      </c>
      <c r="M22" s="18">
        <f t="shared" si="4"/>
        <v>9</v>
      </c>
      <c r="N22" s="181">
        <v>40</v>
      </c>
      <c r="O22" s="18">
        <v>31</v>
      </c>
    </row>
    <row r="23" spans="1:15" s="187" customFormat="1" ht="13.5" customHeight="1">
      <c r="A23" s="23"/>
      <c r="B23" s="120" t="s">
        <v>248</v>
      </c>
      <c r="C23" s="119"/>
      <c r="D23" s="318">
        <f t="shared" si="0"/>
        <v>158</v>
      </c>
      <c r="E23" s="318"/>
      <c r="F23" s="18">
        <f t="shared" si="1"/>
        <v>50</v>
      </c>
      <c r="G23" s="29">
        <v>145</v>
      </c>
      <c r="H23" s="115">
        <v>95</v>
      </c>
      <c r="I23" s="18">
        <f t="shared" si="2"/>
        <v>108</v>
      </c>
      <c r="J23" s="18">
        <f t="shared" si="3"/>
        <v>101</v>
      </c>
      <c r="K23" s="181">
        <v>794</v>
      </c>
      <c r="L23" s="18">
        <v>693</v>
      </c>
      <c r="M23" s="18">
        <f t="shared" si="4"/>
        <v>7</v>
      </c>
      <c r="N23" s="181">
        <v>38</v>
      </c>
      <c r="O23" s="18">
        <v>31</v>
      </c>
    </row>
    <row r="24" spans="1:15" s="187" customFormat="1" ht="13.5" customHeight="1">
      <c r="A24" s="23"/>
      <c r="B24" s="120" t="s">
        <v>249</v>
      </c>
      <c r="C24" s="119"/>
      <c r="D24" s="318">
        <f t="shared" si="0"/>
        <v>-49</v>
      </c>
      <c r="E24" s="318"/>
      <c r="F24" s="18">
        <f t="shared" si="1"/>
        <v>0</v>
      </c>
      <c r="G24" s="29">
        <v>124</v>
      </c>
      <c r="H24" s="115">
        <v>124</v>
      </c>
      <c r="I24" s="18">
        <f>SUM(J24,M24)</f>
        <v>-49</v>
      </c>
      <c r="J24" s="18">
        <f t="shared" si="3"/>
        <v>-66</v>
      </c>
      <c r="K24" s="181">
        <v>647</v>
      </c>
      <c r="L24" s="18">
        <v>713</v>
      </c>
      <c r="M24" s="18">
        <f t="shared" si="4"/>
        <v>17</v>
      </c>
      <c r="N24" s="181">
        <v>39</v>
      </c>
      <c r="O24" s="18">
        <v>22</v>
      </c>
    </row>
    <row r="25" spans="1:15" s="187" customFormat="1" ht="13.5" customHeight="1">
      <c r="A25" s="23"/>
      <c r="B25" s="120" t="s">
        <v>250</v>
      </c>
      <c r="C25" s="119"/>
      <c r="D25" s="318">
        <f t="shared" si="0"/>
        <v>-122</v>
      </c>
      <c r="E25" s="318"/>
      <c r="F25" s="18">
        <f t="shared" si="1"/>
        <v>23</v>
      </c>
      <c r="G25" s="29">
        <v>136</v>
      </c>
      <c r="H25" s="115">
        <v>113</v>
      </c>
      <c r="I25" s="18">
        <f t="shared" si="2"/>
        <v>-145</v>
      </c>
      <c r="J25" s="18">
        <f t="shared" si="3"/>
        <v>-96</v>
      </c>
      <c r="K25" s="181">
        <v>637</v>
      </c>
      <c r="L25" s="18">
        <v>733</v>
      </c>
      <c r="M25" s="18">
        <f t="shared" si="4"/>
        <v>-49</v>
      </c>
      <c r="N25" s="181">
        <v>34</v>
      </c>
      <c r="O25" s="18">
        <v>83</v>
      </c>
    </row>
    <row r="26" spans="1:15" s="187" customFormat="1" ht="3.75" customHeight="1">
      <c r="A26" s="67"/>
      <c r="B26" s="121"/>
      <c r="C26" s="76"/>
      <c r="D26" s="95"/>
      <c r="E26" s="23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s="187" customFormat="1" ht="13.5" customHeight="1">
      <c r="A27" s="159" t="s">
        <v>223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5" s="187" customFormat="1" ht="13.5" customHeight="1">
      <c r="A28" s="163" t="s">
        <v>261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1:15" s="187" customFormat="1" ht="13.5" customHeight="1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</row>
    <row r="30" spans="1:18" s="187" customFormat="1" ht="13.5" customHeight="1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</row>
  </sheetData>
  <sheetProtection/>
  <mergeCells count="34">
    <mergeCell ref="A11:B11"/>
    <mergeCell ref="D13:E13"/>
    <mergeCell ref="D25:E25"/>
    <mergeCell ref="D23:E23"/>
    <mergeCell ref="C11:E11"/>
    <mergeCell ref="D18:E18"/>
    <mergeCell ref="D17:E17"/>
    <mergeCell ref="A12:B12"/>
    <mergeCell ref="D16:E16"/>
    <mergeCell ref="D15:E15"/>
    <mergeCell ref="A9:B9"/>
    <mergeCell ref="C9:E9"/>
    <mergeCell ref="A8:B8"/>
    <mergeCell ref="F5:F6"/>
    <mergeCell ref="C8:E8"/>
    <mergeCell ref="A4:B6"/>
    <mergeCell ref="C4:E6"/>
    <mergeCell ref="D7:E7"/>
    <mergeCell ref="A10:B10"/>
    <mergeCell ref="C12:E12"/>
    <mergeCell ref="C10:E10"/>
    <mergeCell ref="I4:O4"/>
    <mergeCell ref="M5:O5"/>
    <mergeCell ref="J5:L5"/>
    <mergeCell ref="I5:I6"/>
    <mergeCell ref="H5:H6"/>
    <mergeCell ref="F4:H4"/>
    <mergeCell ref="G5:G6"/>
    <mergeCell ref="D19:E19"/>
    <mergeCell ref="D14:E14"/>
    <mergeCell ref="D20:E20"/>
    <mergeCell ref="D24:E24"/>
    <mergeCell ref="D21:E21"/>
    <mergeCell ref="D22:E2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H25" sqref="H25"/>
    </sheetView>
  </sheetViews>
  <sheetFormatPr defaultColWidth="9.00390625" defaultRowHeight="13.5"/>
  <cols>
    <col min="1" max="1" width="5.125" style="215" customWidth="1"/>
    <col min="2" max="2" width="3.625" style="215" customWidth="1"/>
    <col min="3" max="5" width="3.50390625" style="215" customWidth="1"/>
    <col min="6" max="10" width="6.625" style="215" customWidth="1"/>
    <col min="11" max="11" width="8.00390625" style="215" customWidth="1"/>
    <col min="12" max="18" width="6.625" style="215" customWidth="1"/>
    <col min="19" max="16384" width="9.00390625" style="215" customWidth="1"/>
  </cols>
  <sheetData>
    <row r="1" s="213" customFormat="1" ht="15.75" customHeight="1">
      <c r="A1" s="179" t="s">
        <v>320</v>
      </c>
    </row>
    <row r="2" spans="1:18" ht="19.5" customHeight="1">
      <c r="A2" s="9" t="s">
        <v>335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9"/>
      <c r="Q2" s="9"/>
      <c r="R2" s="9"/>
    </row>
    <row r="3" spans="1:18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 t="s">
        <v>0</v>
      </c>
      <c r="N3" s="10"/>
      <c r="O3" s="10"/>
      <c r="P3" s="10"/>
      <c r="R3" s="218"/>
    </row>
    <row r="4" spans="1:18" ht="13.5" customHeight="1">
      <c r="A4" s="223" t="s">
        <v>1</v>
      </c>
      <c r="B4" s="221" t="s">
        <v>59</v>
      </c>
      <c r="C4" s="221"/>
      <c r="D4" s="337" t="s">
        <v>55</v>
      </c>
      <c r="E4" s="337"/>
      <c r="F4" s="221" t="s">
        <v>57</v>
      </c>
      <c r="G4" s="221" t="s">
        <v>326</v>
      </c>
      <c r="H4" s="221" t="s">
        <v>327</v>
      </c>
      <c r="I4" s="221" t="s">
        <v>328</v>
      </c>
      <c r="J4" s="221" t="s">
        <v>329</v>
      </c>
      <c r="K4" s="221" t="s">
        <v>330</v>
      </c>
      <c r="L4" s="221" t="s">
        <v>331</v>
      </c>
      <c r="M4" s="335" t="s">
        <v>58</v>
      </c>
      <c r="N4" s="218"/>
      <c r="O4" s="218"/>
      <c r="P4" s="218"/>
      <c r="Q4" s="218"/>
      <c r="R4" s="218"/>
    </row>
    <row r="5" spans="1:18" ht="13.5" customHeight="1">
      <c r="A5" s="224"/>
      <c r="B5" s="222"/>
      <c r="C5" s="222"/>
      <c r="D5" s="338" t="s">
        <v>56</v>
      </c>
      <c r="E5" s="338"/>
      <c r="F5" s="222"/>
      <c r="G5" s="222"/>
      <c r="H5" s="222"/>
      <c r="I5" s="222"/>
      <c r="J5" s="222"/>
      <c r="K5" s="222"/>
      <c r="L5" s="222"/>
      <c r="M5" s="336"/>
      <c r="N5" s="218"/>
      <c r="O5" s="218"/>
      <c r="P5" s="218"/>
      <c r="Q5" s="218"/>
      <c r="R5" s="218"/>
    </row>
    <row r="6" spans="1:18" ht="3.75" customHeight="1">
      <c r="A6" s="123"/>
      <c r="B6" s="76"/>
      <c r="C6" s="76"/>
      <c r="D6" s="76"/>
      <c r="E6" s="20"/>
      <c r="F6" s="76"/>
      <c r="G6" s="76"/>
      <c r="H6" s="20"/>
      <c r="I6" s="20"/>
      <c r="J6" s="76"/>
      <c r="K6" s="20"/>
      <c r="L6" s="20"/>
      <c r="M6" s="76"/>
      <c r="N6" s="218"/>
      <c r="O6" s="218"/>
      <c r="P6" s="218"/>
      <c r="Q6" s="218"/>
      <c r="R6" s="218"/>
    </row>
    <row r="7" spans="1:18" ht="13.5" customHeight="1">
      <c r="A7" s="30">
        <v>19</v>
      </c>
      <c r="B7" s="334">
        <f>SUM(D7:M7)</f>
        <v>3280</v>
      </c>
      <c r="C7" s="333"/>
      <c r="D7" s="330">
        <v>941</v>
      </c>
      <c r="E7" s="330"/>
      <c r="F7" s="17">
        <v>1427</v>
      </c>
      <c r="G7" s="43">
        <v>124</v>
      </c>
      <c r="H7" s="17">
        <v>21</v>
      </c>
      <c r="I7" s="17">
        <v>113</v>
      </c>
      <c r="J7" s="43">
        <v>32</v>
      </c>
      <c r="K7" s="17">
        <v>35</v>
      </c>
      <c r="L7" s="17">
        <v>310</v>
      </c>
      <c r="M7" s="43">
        <v>277</v>
      </c>
      <c r="N7" s="218"/>
      <c r="O7" s="218"/>
      <c r="P7" s="218"/>
      <c r="Q7" s="218"/>
      <c r="R7" s="218"/>
    </row>
    <row r="8" spans="1:18" ht="13.5" customHeight="1">
      <c r="A8" s="30">
        <v>20</v>
      </c>
      <c r="B8" s="334">
        <f>SUM(D8:M8)</f>
        <v>3423</v>
      </c>
      <c r="C8" s="333"/>
      <c r="D8" s="330">
        <v>987</v>
      </c>
      <c r="E8" s="330"/>
      <c r="F8" s="17">
        <v>1494</v>
      </c>
      <c r="G8" s="43">
        <v>127</v>
      </c>
      <c r="H8" s="17">
        <v>21</v>
      </c>
      <c r="I8" s="17">
        <v>111</v>
      </c>
      <c r="J8" s="43">
        <v>54</v>
      </c>
      <c r="K8" s="17">
        <v>31</v>
      </c>
      <c r="L8" s="17">
        <v>317</v>
      </c>
      <c r="M8" s="43">
        <v>281</v>
      </c>
      <c r="N8" s="218"/>
      <c r="O8" s="218"/>
      <c r="P8" s="218"/>
      <c r="Q8" s="218"/>
      <c r="R8" s="218"/>
    </row>
    <row r="9" spans="1:18" s="20" customFormat="1" ht="13.5" customHeight="1">
      <c r="A9" s="30">
        <v>21</v>
      </c>
      <c r="B9" s="333">
        <f>SUM(D9:M9)</f>
        <v>3576</v>
      </c>
      <c r="C9" s="333"/>
      <c r="D9" s="333">
        <v>985</v>
      </c>
      <c r="E9" s="333"/>
      <c r="F9" s="29">
        <v>1564</v>
      </c>
      <c r="G9" s="115">
        <v>131</v>
      </c>
      <c r="H9" s="29">
        <v>23</v>
      </c>
      <c r="I9" s="29">
        <v>134</v>
      </c>
      <c r="J9" s="115">
        <v>50</v>
      </c>
      <c r="K9" s="29">
        <v>32</v>
      </c>
      <c r="L9" s="29">
        <v>333</v>
      </c>
      <c r="M9" s="115">
        <v>324</v>
      </c>
      <c r="N9" s="23"/>
      <c r="O9" s="23"/>
      <c r="P9" s="23"/>
      <c r="Q9" s="23"/>
      <c r="R9" s="23"/>
    </row>
    <row r="10" spans="1:18" s="20" customFormat="1" ht="13.5" customHeight="1">
      <c r="A10" s="30">
        <v>22</v>
      </c>
      <c r="B10" s="334">
        <f>SUM(D10:M10)</f>
        <v>3685</v>
      </c>
      <c r="C10" s="333"/>
      <c r="D10" s="333">
        <v>1000</v>
      </c>
      <c r="E10" s="333"/>
      <c r="F10" s="29">
        <v>1666</v>
      </c>
      <c r="G10" s="115">
        <v>122</v>
      </c>
      <c r="H10" s="29">
        <v>16</v>
      </c>
      <c r="I10" s="29">
        <v>160</v>
      </c>
      <c r="J10" s="115">
        <v>51</v>
      </c>
      <c r="K10" s="29">
        <v>30</v>
      </c>
      <c r="L10" s="29">
        <v>330</v>
      </c>
      <c r="M10" s="115">
        <v>310</v>
      </c>
      <c r="N10" s="23"/>
      <c r="O10" s="23"/>
      <c r="P10" s="23"/>
      <c r="Q10" s="23"/>
      <c r="R10" s="23"/>
    </row>
    <row r="11" spans="1:18" ht="13.5" customHeight="1">
      <c r="A11" s="195">
        <v>23</v>
      </c>
      <c r="B11" s="331">
        <f>SUM(D11:M11)</f>
        <v>3622</v>
      </c>
      <c r="C11" s="332"/>
      <c r="D11" s="332">
        <v>982</v>
      </c>
      <c r="E11" s="332"/>
      <c r="F11" s="5">
        <v>1668</v>
      </c>
      <c r="G11" s="200">
        <v>122</v>
      </c>
      <c r="H11" s="5">
        <v>20</v>
      </c>
      <c r="I11" s="5">
        <v>139</v>
      </c>
      <c r="J11" s="200">
        <v>48</v>
      </c>
      <c r="K11" s="5">
        <v>29</v>
      </c>
      <c r="L11" s="5">
        <v>312</v>
      </c>
      <c r="M11" s="200">
        <v>302</v>
      </c>
      <c r="N11" s="218"/>
      <c r="O11" s="218"/>
      <c r="P11" s="218"/>
      <c r="Q11" s="218"/>
      <c r="R11" s="218"/>
    </row>
    <row r="12" spans="1:18" ht="3.75" customHeight="1">
      <c r="A12" s="124"/>
      <c r="B12" s="76"/>
      <c r="C12" s="76"/>
      <c r="D12" s="76"/>
      <c r="E12" s="20"/>
      <c r="F12" s="76"/>
      <c r="G12" s="76"/>
      <c r="H12" s="20"/>
      <c r="I12" s="20"/>
      <c r="J12" s="76"/>
      <c r="K12" s="20"/>
      <c r="L12" s="20"/>
      <c r="M12" s="76"/>
      <c r="N12" s="218"/>
      <c r="O12" s="218"/>
      <c r="P12" s="218"/>
      <c r="Q12" s="218"/>
      <c r="R12" s="218"/>
    </row>
    <row r="13" spans="1:18" ht="13.5" customHeight="1">
      <c r="A13" s="159" t="s">
        <v>224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0"/>
      <c r="O13" s="10"/>
      <c r="P13" s="10"/>
      <c r="Q13" s="10"/>
      <c r="R13" s="218"/>
    </row>
    <row r="14" spans="1:18" ht="13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</sheetData>
  <sheetProtection/>
  <mergeCells count="22">
    <mergeCell ref="I4:I5"/>
    <mergeCell ref="H4:H5"/>
    <mergeCell ref="D7:E7"/>
    <mergeCell ref="D4:E4"/>
    <mergeCell ref="D5:E5"/>
    <mergeCell ref="A4:A5"/>
    <mergeCell ref="B10:C10"/>
    <mergeCell ref="B4:C5"/>
    <mergeCell ref="B7:C7"/>
    <mergeCell ref="M4:M5"/>
    <mergeCell ref="G4:G5"/>
    <mergeCell ref="L4:L5"/>
    <mergeCell ref="K4:K5"/>
    <mergeCell ref="J4:J5"/>
    <mergeCell ref="F4:F5"/>
    <mergeCell ref="D8:E8"/>
    <mergeCell ref="B11:C11"/>
    <mergeCell ref="D11:E11"/>
    <mergeCell ref="D10:E10"/>
    <mergeCell ref="B8:C8"/>
    <mergeCell ref="D9:E9"/>
    <mergeCell ref="B9:C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215" customWidth="1"/>
    <col min="2" max="2" width="3.625" style="215" customWidth="1"/>
    <col min="3" max="5" width="3.50390625" style="215" customWidth="1"/>
    <col min="6" max="10" width="6.625" style="215" customWidth="1"/>
    <col min="11" max="11" width="8.00390625" style="215" customWidth="1"/>
    <col min="12" max="18" width="6.625" style="215" customWidth="1"/>
    <col min="19" max="16384" width="9.00390625" style="215" customWidth="1"/>
  </cols>
  <sheetData>
    <row r="1" s="213" customFormat="1" ht="15.75" customHeight="1">
      <c r="A1" s="179" t="s">
        <v>320</v>
      </c>
    </row>
    <row r="2" spans="1:18" ht="19.5" customHeight="1">
      <c r="A2" s="9" t="s">
        <v>336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9"/>
      <c r="Q2" s="9"/>
      <c r="R2" s="9"/>
    </row>
    <row r="3" spans="1:18" ht="13.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ht="13.5">
      <c r="A4" s="350" t="s">
        <v>146</v>
      </c>
      <c r="B4" s="322" t="s">
        <v>147</v>
      </c>
      <c r="C4" s="322"/>
      <c r="D4" s="322"/>
      <c r="E4" s="322"/>
      <c r="F4" s="322"/>
      <c r="G4" s="322"/>
      <c r="H4" s="322"/>
      <c r="I4" s="322"/>
      <c r="J4" s="322"/>
      <c r="K4" s="322" t="s">
        <v>148</v>
      </c>
      <c r="L4" s="322"/>
      <c r="M4" s="322"/>
      <c r="N4" s="322"/>
      <c r="O4" s="323"/>
      <c r="P4" s="218"/>
      <c r="Q4" s="218"/>
      <c r="R4" s="218"/>
    </row>
    <row r="5" spans="1:18" s="217" customFormat="1" ht="13.5">
      <c r="A5" s="351"/>
      <c r="B5" s="324" t="s">
        <v>59</v>
      </c>
      <c r="C5" s="353"/>
      <c r="D5" s="324" t="s">
        <v>37</v>
      </c>
      <c r="E5" s="353"/>
      <c r="F5" s="35" t="s">
        <v>38</v>
      </c>
      <c r="G5" s="35" t="s">
        <v>149</v>
      </c>
      <c r="H5" s="35" t="s">
        <v>150</v>
      </c>
      <c r="I5" s="35" t="s">
        <v>151</v>
      </c>
      <c r="J5" s="35" t="s">
        <v>58</v>
      </c>
      <c r="K5" s="35" t="s">
        <v>59</v>
      </c>
      <c r="L5" s="35" t="s">
        <v>40</v>
      </c>
      <c r="M5" s="35" t="s">
        <v>41</v>
      </c>
      <c r="N5" s="35" t="s">
        <v>152</v>
      </c>
      <c r="O5" s="40" t="s">
        <v>58</v>
      </c>
      <c r="P5" s="219"/>
      <c r="Q5" s="219"/>
      <c r="R5" s="219"/>
    </row>
    <row r="6" spans="1:18" ht="5.25" customHeight="1">
      <c r="A6" s="116"/>
      <c r="B6" s="237"/>
      <c r="C6" s="352"/>
      <c r="D6" s="237"/>
      <c r="E6" s="237"/>
      <c r="F6" s="20"/>
      <c r="G6" s="20"/>
      <c r="H6" s="76"/>
      <c r="I6" s="20"/>
      <c r="J6" s="20"/>
      <c r="K6" s="76"/>
      <c r="L6" s="20"/>
      <c r="M6" s="20"/>
      <c r="N6" s="76"/>
      <c r="O6" s="20"/>
      <c r="P6" s="218"/>
      <c r="Q6" s="218"/>
      <c r="R6" s="218"/>
    </row>
    <row r="7" spans="1:18" ht="13.5" customHeight="1">
      <c r="A7" s="30">
        <v>17</v>
      </c>
      <c r="B7" s="342">
        <f>SUM(D7:J7)</f>
        <v>7183</v>
      </c>
      <c r="C7" s="343"/>
      <c r="D7" s="344">
        <v>1364</v>
      </c>
      <c r="E7" s="344"/>
      <c r="F7" s="74">
        <v>990</v>
      </c>
      <c r="G7" s="74">
        <v>1816</v>
      </c>
      <c r="H7" s="93">
        <v>518</v>
      </c>
      <c r="I7" s="74">
        <v>1227</v>
      </c>
      <c r="J7" s="74">
        <v>1268</v>
      </c>
      <c r="K7" s="93">
        <f aca="true" t="shared" si="0" ref="K7:K12">SUM(L7:O7)</f>
        <v>31788</v>
      </c>
      <c r="L7" s="74">
        <v>8581</v>
      </c>
      <c r="M7" s="74">
        <v>7708</v>
      </c>
      <c r="N7" s="93">
        <v>3474</v>
      </c>
      <c r="O7" s="74">
        <v>12025</v>
      </c>
      <c r="P7" s="218"/>
      <c r="Q7" s="218"/>
      <c r="R7" s="218"/>
    </row>
    <row r="8" spans="1:18" ht="13.5" customHeight="1">
      <c r="A8" s="30">
        <v>18</v>
      </c>
      <c r="B8" s="342">
        <f>SUM(D8:J8)</f>
        <v>7134</v>
      </c>
      <c r="C8" s="343"/>
      <c r="D8" s="344">
        <v>1338</v>
      </c>
      <c r="E8" s="344"/>
      <c r="F8" s="74">
        <v>1004</v>
      </c>
      <c r="G8" s="74">
        <v>1871</v>
      </c>
      <c r="H8" s="93">
        <v>480</v>
      </c>
      <c r="I8" s="74">
        <v>1292</v>
      </c>
      <c r="J8" s="74">
        <v>1149</v>
      </c>
      <c r="K8" s="93">
        <f t="shared" si="0"/>
        <v>29275</v>
      </c>
      <c r="L8" s="74">
        <v>8833</v>
      </c>
      <c r="M8" s="74">
        <v>7852</v>
      </c>
      <c r="N8" s="93">
        <v>3433</v>
      </c>
      <c r="O8" s="74">
        <v>9157</v>
      </c>
      <c r="P8" s="218"/>
      <c r="Q8" s="218"/>
      <c r="R8" s="218"/>
    </row>
    <row r="9" spans="1:18" ht="13.5" customHeight="1">
      <c r="A9" s="30">
        <v>19</v>
      </c>
      <c r="B9" s="342">
        <v>7044</v>
      </c>
      <c r="C9" s="343"/>
      <c r="D9" s="344">
        <v>1325</v>
      </c>
      <c r="E9" s="344"/>
      <c r="F9" s="74">
        <v>996</v>
      </c>
      <c r="G9" s="74">
        <v>1777</v>
      </c>
      <c r="H9" s="93">
        <v>548</v>
      </c>
      <c r="I9" s="74">
        <v>1173</v>
      </c>
      <c r="J9" s="74">
        <f>B9-D9-F9-G9-H9-I9</f>
        <v>1225</v>
      </c>
      <c r="K9" s="93">
        <f t="shared" si="0"/>
        <v>28062</v>
      </c>
      <c r="L9" s="74">
        <v>8668</v>
      </c>
      <c r="M9" s="74">
        <v>7853</v>
      </c>
      <c r="N9" s="93">
        <v>3121</v>
      </c>
      <c r="O9" s="74">
        <v>8420</v>
      </c>
      <c r="P9" s="218"/>
      <c r="Q9" s="218"/>
      <c r="R9" s="218"/>
    </row>
    <row r="10" spans="1:18" s="20" customFormat="1" ht="13.5" customHeight="1">
      <c r="A10" s="30">
        <v>20</v>
      </c>
      <c r="B10" s="342">
        <v>7171</v>
      </c>
      <c r="C10" s="345"/>
      <c r="D10" s="342">
        <v>1365</v>
      </c>
      <c r="E10" s="342"/>
      <c r="F10" s="73">
        <v>1042</v>
      </c>
      <c r="G10" s="73">
        <v>1831</v>
      </c>
      <c r="H10" s="50">
        <v>517</v>
      </c>
      <c r="I10" s="73">
        <v>1198</v>
      </c>
      <c r="J10" s="73">
        <f>B10-D10-F10-G10-H10-I10</f>
        <v>1218</v>
      </c>
      <c r="K10" s="50">
        <f t="shared" si="0"/>
        <v>28487</v>
      </c>
      <c r="L10" s="73">
        <v>8549</v>
      </c>
      <c r="M10" s="73">
        <v>7846</v>
      </c>
      <c r="N10" s="50">
        <v>3171</v>
      </c>
      <c r="O10" s="73">
        <v>8921</v>
      </c>
      <c r="P10" s="23"/>
      <c r="Q10" s="23"/>
      <c r="R10" s="23"/>
    </row>
    <row r="11" spans="1:18" s="20" customFormat="1" ht="13.5" customHeight="1">
      <c r="A11" s="30">
        <v>21</v>
      </c>
      <c r="B11" s="346">
        <f>SUM(D11:J11)</f>
        <v>7029</v>
      </c>
      <c r="C11" s="345"/>
      <c r="D11" s="342">
        <v>1296</v>
      </c>
      <c r="E11" s="342"/>
      <c r="F11" s="73">
        <v>1027</v>
      </c>
      <c r="G11" s="73">
        <v>1839</v>
      </c>
      <c r="H11" s="50">
        <v>531</v>
      </c>
      <c r="I11" s="73">
        <v>1205</v>
      </c>
      <c r="J11" s="73">
        <v>1131</v>
      </c>
      <c r="K11" s="50">
        <f t="shared" si="0"/>
        <v>34451</v>
      </c>
      <c r="L11" s="73">
        <v>8046</v>
      </c>
      <c r="M11" s="73">
        <v>7725</v>
      </c>
      <c r="N11" s="50">
        <v>3308</v>
      </c>
      <c r="O11" s="73">
        <v>15372</v>
      </c>
      <c r="P11" s="23"/>
      <c r="Q11" s="23"/>
      <c r="R11" s="23"/>
    </row>
    <row r="12" spans="1:18" ht="13.5" customHeight="1">
      <c r="A12" s="195">
        <v>22</v>
      </c>
      <c r="B12" s="347">
        <f>SUM(D12:J12)</f>
        <v>7095</v>
      </c>
      <c r="C12" s="348"/>
      <c r="D12" s="349">
        <v>1361</v>
      </c>
      <c r="E12" s="349"/>
      <c r="F12" s="201">
        <v>1192</v>
      </c>
      <c r="G12" s="201">
        <v>1719</v>
      </c>
      <c r="H12" s="202">
        <v>531</v>
      </c>
      <c r="I12" s="201">
        <v>1192</v>
      </c>
      <c r="J12" s="201">
        <v>1100</v>
      </c>
      <c r="K12" s="202">
        <f t="shared" si="0"/>
        <v>26920</v>
      </c>
      <c r="L12" s="201">
        <v>7734</v>
      </c>
      <c r="M12" s="201">
        <v>7387</v>
      </c>
      <c r="N12" s="202">
        <v>3381</v>
      </c>
      <c r="O12" s="201">
        <v>8418</v>
      </c>
      <c r="P12" s="218"/>
      <c r="Q12" s="218"/>
      <c r="R12" s="218"/>
    </row>
    <row r="13" spans="1:18" ht="5.25" customHeight="1">
      <c r="A13" s="48"/>
      <c r="B13" s="339"/>
      <c r="C13" s="340"/>
      <c r="D13" s="341"/>
      <c r="E13" s="341"/>
      <c r="F13" s="67"/>
      <c r="G13" s="67"/>
      <c r="H13" s="117"/>
      <c r="I13" s="67"/>
      <c r="J13" s="67"/>
      <c r="K13" s="117"/>
      <c r="L13" s="67"/>
      <c r="M13" s="67"/>
      <c r="N13" s="117"/>
      <c r="O13" s="67"/>
      <c r="P13" s="218"/>
      <c r="Q13" s="218"/>
      <c r="R13" s="218"/>
    </row>
    <row r="14" spans="1:18" ht="13.5" customHeight="1">
      <c r="A14" s="164" t="s">
        <v>224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18"/>
      <c r="Q14" s="218"/>
      <c r="R14" s="218"/>
    </row>
    <row r="15" spans="1:16" ht="13.5">
      <c r="A15" s="163" t="s">
        <v>260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8"/>
    </row>
  </sheetData>
  <sheetProtection/>
  <mergeCells count="21">
    <mergeCell ref="D5:E5"/>
    <mergeCell ref="B12:C12"/>
    <mergeCell ref="D12:E12"/>
    <mergeCell ref="B8:C8"/>
    <mergeCell ref="D8:E8"/>
    <mergeCell ref="B7:C7"/>
    <mergeCell ref="A4:A5"/>
    <mergeCell ref="D7:E7"/>
    <mergeCell ref="B6:C6"/>
    <mergeCell ref="D6:E6"/>
    <mergeCell ref="B5:C5"/>
    <mergeCell ref="K4:O4"/>
    <mergeCell ref="B4:J4"/>
    <mergeCell ref="B13:C13"/>
    <mergeCell ref="D13:E13"/>
    <mergeCell ref="B9:C9"/>
    <mergeCell ref="D9:E9"/>
    <mergeCell ref="B10:C10"/>
    <mergeCell ref="D10:E10"/>
    <mergeCell ref="B11:C11"/>
    <mergeCell ref="D11:E1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　山田　良久</cp:lastModifiedBy>
  <cp:lastPrinted>2012-08-03T02:01:36Z</cp:lastPrinted>
  <dcterms:created xsi:type="dcterms:W3CDTF">2003-04-30T06:34:41Z</dcterms:created>
  <dcterms:modified xsi:type="dcterms:W3CDTF">2016-09-21T05:05:19Z</dcterms:modified>
  <cp:category/>
  <cp:version/>
  <cp:contentType/>
  <cp:contentStatus/>
</cp:coreProperties>
</file>