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5" windowWidth="11190" windowHeight="11640" tabRatio="791" activeTab="7"/>
  </bookViews>
  <sheets>
    <sheet name="２　人口" sheetId="1" r:id="rId1"/>
    <sheet name="1 人口 1" sheetId="2" r:id="rId2"/>
    <sheet name="1 人口 2" sheetId="3" r:id="rId3"/>
    <sheet name="1 人口 3" sheetId="4" r:id="rId4"/>
    <sheet name="1 人口3 (2)" sheetId="5" r:id="rId5"/>
    <sheet name="1 人口 4" sheetId="6" r:id="rId6"/>
    <sheet name="1 人口 4 (2)" sheetId="7" r:id="rId7"/>
    <sheet name="1 人口 5～6 " sheetId="8" r:id="rId8"/>
    <sheet name="1 人口 7～9" sheetId="9" r:id="rId9"/>
    <sheet name="1 人口 10" sheetId="10" r:id="rId10"/>
  </sheets>
  <definedNames/>
  <calcPr fullCalcOnLoad="1"/>
</workbook>
</file>

<file path=xl/sharedStrings.xml><?xml version="1.0" encoding="utf-8"?>
<sst xmlns="http://schemas.openxmlformats.org/spreadsheetml/2006/main" count="600" uniqueCount="348">
  <si>
    <t>各年１月１日現在</t>
  </si>
  <si>
    <t>年</t>
  </si>
  <si>
    <t>当たり人員</t>
  </si>
  <si>
    <t>人　　口</t>
  </si>
  <si>
    <t>人口密度</t>
  </si>
  <si>
    <t>世 帯 数</t>
  </si>
  <si>
    <t>世帯数</t>
  </si>
  <si>
    <t>人　　　　　口</t>
  </si>
  <si>
    <t>総　　数</t>
  </si>
  <si>
    <t>男</t>
  </si>
  <si>
    <t>女</t>
  </si>
  <si>
    <t>総数</t>
  </si>
  <si>
    <t>富士見町</t>
  </si>
  <si>
    <t>1丁目</t>
  </si>
  <si>
    <t>2丁目</t>
  </si>
  <si>
    <t>3丁目</t>
  </si>
  <si>
    <t>4丁目</t>
  </si>
  <si>
    <t>5丁目</t>
  </si>
  <si>
    <t>6丁目</t>
  </si>
  <si>
    <t>7丁目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</si>
  <si>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</si>
  <si>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</si>
  <si>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</si>
  <si>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</si>
  <si>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</si>
  <si>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</si>
  <si>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</si>
  <si>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</si>
  <si>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</si>
  <si>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</si>
  <si>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</si>
  <si>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8丁目</t>
  </si>
  <si>
    <t>上砂町</t>
  </si>
  <si>
    <t>一番町</t>
  </si>
  <si>
    <t>西砂町</t>
  </si>
  <si>
    <t>増減数</t>
  </si>
  <si>
    <t>自　然　動　態</t>
  </si>
  <si>
    <t>出　生</t>
  </si>
  <si>
    <t>死　亡</t>
  </si>
  <si>
    <t>社　　会　　動　　態</t>
  </si>
  <si>
    <t>転　入</t>
  </si>
  <si>
    <t>転　出</t>
  </si>
  <si>
    <t>その他の増減</t>
  </si>
  <si>
    <t>対前年</t>
  </si>
  <si>
    <t>柴　崎　町</t>
  </si>
  <si>
    <t>錦　　　　町</t>
  </si>
  <si>
    <t>羽　衣　町</t>
  </si>
  <si>
    <t>高　松　町</t>
  </si>
  <si>
    <t>緑　　　　町</t>
  </si>
  <si>
    <t>栄　　　　町</t>
  </si>
  <si>
    <t>若　葉　町</t>
  </si>
  <si>
    <t>柏　　　　町</t>
  </si>
  <si>
    <t>砂　川　町</t>
  </si>
  <si>
    <t>上　砂　町</t>
  </si>
  <si>
    <t>西　砂　町</t>
  </si>
  <si>
    <t>総　　　　　数</t>
  </si>
  <si>
    <t>韓　国</t>
  </si>
  <si>
    <t>朝　鮮</t>
  </si>
  <si>
    <t>中　国</t>
  </si>
  <si>
    <t>その他</t>
  </si>
  <si>
    <t>総　数</t>
  </si>
  <si>
    <t>地　　　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</si>
  <si>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</si>
  <si>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</si>
  <si>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</si>
  <si>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</si>
  <si>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</si>
  <si>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</si>
  <si>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</si>
  <si>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</si>
  <si>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</si>
  <si>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</si>
  <si>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</si>
  <si>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</si>
  <si>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市町村部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</si>
  <si>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</si>
  <si>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</si>
  <si>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</si>
  <si>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</si>
  <si>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</si>
  <si>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</si>
  <si>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</si>
  <si>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</si>
  <si>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</si>
  <si>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</si>
  <si>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</si>
  <si>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</si>
  <si>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</si>
  <si>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</si>
  <si>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</si>
  <si>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</si>
  <si>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</si>
  <si>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</si>
  <si>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</si>
  <si>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</si>
  <si>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</si>
  <si>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</si>
  <si>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</si>
  <si>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</si>
  <si>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</si>
  <si>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</si>
  <si>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</si>
  <si>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</si>
  <si>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</si>
  <si>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</si>
  <si>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</si>
  <si>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</si>
  <si>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</si>
  <si>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</si>
  <si>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</si>
  <si>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従前の住所なし</t>
  </si>
  <si>
    <t>区　　　部</t>
  </si>
  <si>
    <t>千葉県</t>
  </si>
  <si>
    <t>増加率(%)</t>
  </si>
  <si>
    <t>1   世   帯</t>
  </si>
  <si>
    <t>総数</t>
  </si>
  <si>
    <t>泉町</t>
  </si>
  <si>
    <t>総　　　数</t>
  </si>
  <si>
    <t>歳</t>
  </si>
  <si>
    <t>（再　　掲）</t>
  </si>
  <si>
    <t>65～74歳</t>
  </si>
  <si>
    <t>75歳以上</t>
  </si>
  <si>
    <t>平均年齢</t>
  </si>
  <si>
    <t>不　　　　　詳</t>
  </si>
  <si>
    <t>総　　　　数</t>
  </si>
  <si>
    <t>国 分 寺 市</t>
  </si>
  <si>
    <t>八 王 子 市</t>
  </si>
  <si>
    <t>国 　立　 市</t>
  </si>
  <si>
    <t>立　 川 　市</t>
  </si>
  <si>
    <t>福 　生　 市</t>
  </si>
  <si>
    <t>武 蔵 野 市</t>
  </si>
  <si>
    <t>狛 　江　 市</t>
  </si>
  <si>
    <t>三　 鷹 　市</t>
  </si>
  <si>
    <t>東 大 和 市</t>
  </si>
  <si>
    <t>青　 梅 　市</t>
  </si>
  <si>
    <t>清 　瀬　 市</t>
  </si>
  <si>
    <t>府　 中　 市</t>
  </si>
  <si>
    <t>東久留米市</t>
  </si>
  <si>
    <t>昭 　島　 市</t>
  </si>
  <si>
    <t>武蔵村山市</t>
  </si>
  <si>
    <t>調 　布　 市</t>
  </si>
  <si>
    <t>多 　摩　 市</t>
  </si>
  <si>
    <t>町 　田　 市</t>
  </si>
  <si>
    <t>稲 　城　 市</t>
  </si>
  <si>
    <t>小 金 井 市</t>
  </si>
  <si>
    <t>羽 　村　 市</t>
  </si>
  <si>
    <t>小 　平　 市</t>
  </si>
  <si>
    <t>あきる野市</t>
  </si>
  <si>
    <t>日 　野　 市</t>
  </si>
  <si>
    <t>西 東 京 市</t>
  </si>
  <si>
    <t>東 村 山 市</t>
  </si>
  <si>
    <t>総 　　　　数</t>
  </si>
  <si>
    <t>１　　人　　　口</t>
  </si>
  <si>
    <t>１表　世帯数 ・ 人口等の推移</t>
  </si>
  <si>
    <t>人　 口</t>
  </si>
  <si>
    <t>昭和 11</t>
  </si>
  <si>
    <t>平成  2</t>
  </si>
  <si>
    <t>対前年増減数 （人口）</t>
  </si>
  <si>
    <t>年　　　月</t>
  </si>
  <si>
    <t>出 生</t>
  </si>
  <si>
    <t>死 亡</t>
  </si>
  <si>
    <t>転 入</t>
  </si>
  <si>
    <t>転 出</t>
  </si>
  <si>
    <t>増 加</t>
  </si>
  <si>
    <t>減 少</t>
  </si>
  <si>
    <t>転 入 ・ 転 出</t>
  </si>
  <si>
    <t>増加数</t>
  </si>
  <si>
    <t>人　口</t>
  </si>
  <si>
    <t>増加率</t>
  </si>
  <si>
    <t>総　　　　　　　　　　　数</t>
  </si>
  <si>
    <t>対前年比(人口)</t>
  </si>
  <si>
    <t>曙　　　町</t>
  </si>
  <si>
    <t>幸　　　町</t>
  </si>
  <si>
    <t>一　番　町</t>
  </si>
  <si>
    <t>泉　　　町</t>
  </si>
  <si>
    <t>割合 （％）</t>
  </si>
  <si>
    <t>年　度</t>
  </si>
  <si>
    <t>戸　　　　　　　　　　　　　籍</t>
  </si>
  <si>
    <t>住　民　基　本　台　帳</t>
  </si>
  <si>
    <t>婚　姻</t>
  </si>
  <si>
    <t>離　婚</t>
  </si>
  <si>
    <t>転　籍</t>
  </si>
  <si>
    <t>転　居</t>
  </si>
  <si>
    <t>年齢 （歳）</t>
  </si>
  <si>
    <t>100歳 以上</t>
  </si>
  <si>
    <t>１　世　帯</t>
  </si>
  <si>
    <t>（人/ｋ㎡）</t>
  </si>
  <si>
    <t>　</t>
  </si>
  <si>
    <t>年少人口（0～14歳）</t>
  </si>
  <si>
    <t>生産年齢人口（15～64歳）</t>
  </si>
  <si>
    <t>老年人口（65歳以上）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</si>
  <si>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</si>
  <si>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</si>
  <si>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</si>
  <si>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</si>
  <si>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</si>
  <si>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</si>
  <si>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</si>
  <si>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</si>
  <si>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</si>
  <si>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 xml:space="preserve">     22</t>
  </si>
  <si>
    <t xml:space="preserve">     23</t>
  </si>
  <si>
    <t xml:space="preserve">     24</t>
  </si>
  <si>
    <t xml:space="preserve">     25</t>
  </si>
  <si>
    <t xml:space="preserve">     27</t>
  </si>
  <si>
    <t xml:space="preserve">     28</t>
  </si>
  <si>
    <t xml:space="preserve">     29</t>
  </si>
  <si>
    <t xml:space="preserve">     30</t>
  </si>
  <si>
    <t xml:space="preserve">     32</t>
  </si>
  <si>
    <t xml:space="preserve">     33</t>
  </si>
  <si>
    <t xml:space="preserve">     34</t>
  </si>
  <si>
    <t xml:space="preserve">     35</t>
  </si>
  <si>
    <t xml:space="preserve">     37</t>
  </si>
  <si>
    <t xml:space="preserve">     38</t>
  </si>
  <si>
    <t xml:space="preserve">     39</t>
  </si>
  <si>
    <t xml:space="preserve">     40</t>
  </si>
  <si>
    <t xml:space="preserve">     42</t>
  </si>
  <si>
    <t xml:space="preserve">     43</t>
  </si>
  <si>
    <t xml:space="preserve">     44</t>
  </si>
  <si>
    <t xml:space="preserve">     45</t>
  </si>
  <si>
    <t xml:space="preserve">     47</t>
  </si>
  <si>
    <t xml:space="preserve">     48</t>
  </si>
  <si>
    <t xml:space="preserve">     49</t>
  </si>
  <si>
    <t xml:space="preserve">     50</t>
  </si>
  <si>
    <t xml:space="preserve">     53</t>
  </si>
  <si>
    <t xml:space="preserve">     54</t>
  </si>
  <si>
    <t xml:space="preserve">     55</t>
  </si>
  <si>
    <t xml:space="preserve">     57</t>
  </si>
  <si>
    <t xml:space="preserve">     58</t>
  </si>
  <si>
    <t xml:space="preserve">     59</t>
  </si>
  <si>
    <t xml:space="preserve">     60</t>
  </si>
  <si>
    <t xml:space="preserve">     62</t>
  </si>
  <si>
    <t xml:space="preserve">     63</t>
  </si>
  <si>
    <t xml:space="preserve">     64</t>
  </si>
  <si>
    <t xml:space="preserve">     4</t>
  </si>
  <si>
    <t xml:space="preserve">     5</t>
  </si>
  <si>
    <t xml:space="preserve">     6</t>
  </si>
  <si>
    <t xml:space="preserve">     7</t>
  </si>
  <si>
    <t xml:space="preserve">     9</t>
  </si>
  <si>
    <t xml:space="preserve">     10</t>
  </si>
  <si>
    <t xml:space="preserve">     11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</si>
  <si>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</si>
  <si>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</si>
  <si>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</si>
  <si>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</si>
  <si>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</si>
  <si>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</si>
  <si>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</si>
  <si>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３表　町丁別世帯数と人口</t>
  </si>
  <si>
    <t>５表　町別世帯数 ・ 人口の推移</t>
  </si>
  <si>
    <t>７表　人口動態の推移</t>
  </si>
  <si>
    <t>８表　国籍別外国人登録者数の推移</t>
  </si>
  <si>
    <t>９表　戸籍届出処理件数 ・ 住民異動届処理件数の推移</t>
  </si>
  <si>
    <t>（％）</t>
  </si>
  <si>
    <t xml:space="preserve">     21</t>
  </si>
  <si>
    <t>前年人口</t>
  </si>
  <si>
    <t>この行（ Ｉ　）表示しないこと</t>
  </si>
  <si>
    <t>　15歳未満</t>
  </si>
  <si>
    <t>　15～64歳</t>
  </si>
  <si>
    <t>　65歳以上</t>
  </si>
  <si>
    <t>資料：市民生活部市民課</t>
  </si>
  <si>
    <t>資料：市民生活部市民課</t>
  </si>
  <si>
    <t>S64</t>
  </si>
  <si>
    <t>H10</t>
  </si>
  <si>
    <r>
      <t>（人/km</t>
    </r>
    <r>
      <rPr>
        <vertAlign val="superscript"/>
        <sz val="9"/>
        <rFont val="ＭＳ Ｐ明朝"/>
        <family val="1"/>
      </rPr>
      <t>2</t>
    </r>
    <r>
      <rPr>
        <sz val="9"/>
        <rFont val="ＭＳ Ｐ明朝"/>
        <family val="1"/>
      </rPr>
      <t>)</t>
    </r>
  </si>
  <si>
    <t xml:space="preserve">     51</t>
  </si>
  <si>
    <t xml:space="preserve">     12</t>
  </si>
  <si>
    <t xml:space="preserve">     52</t>
  </si>
  <si>
    <t xml:space="preserve">     16</t>
  </si>
  <si>
    <t xml:space="preserve">     56</t>
  </si>
  <si>
    <t xml:space="preserve">     21</t>
  </si>
  <si>
    <t xml:space="preserve">     61</t>
  </si>
  <si>
    <t xml:space="preserve">     26</t>
  </si>
  <si>
    <t xml:space="preserve">     3</t>
  </si>
  <si>
    <t xml:space="preserve">     31</t>
  </si>
  <si>
    <t xml:space="preserve">     8</t>
  </si>
  <si>
    <t xml:space="preserve">     36</t>
  </si>
  <si>
    <t xml:space="preserve">     13</t>
  </si>
  <si>
    <t xml:space="preserve">     41</t>
  </si>
  <si>
    <t xml:space="preserve">     18</t>
  </si>
  <si>
    <t xml:space="preserve">     19</t>
  </si>
  <si>
    <t xml:space="preserve">     46</t>
  </si>
  <si>
    <t>-</t>
  </si>
  <si>
    <t>30 ～ 34</t>
  </si>
  <si>
    <t>５ ～ ９</t>
  </si>
  <si>
    <t>35 ～ 39</t>
  </si>
  <si>
    <t>10 ～ 14</t>
  </si>
  <si>
    <t>40 ～ 44</t>
  </si>
  <si>
    <t>０ ～ ４</t>
  </si>
  <si>
    <t>15 ～ 19</t>
  </si>
  <si>
    <t>20 ～ 24</t>
  </si>
  <si>
    <t>25 ～ 29</t>
  </si>
  <si>
    <t>45 ～ 49</t>
  </si>
  <si>
    <t>50 ～ 54</t>
  </si>
  <si>
    <t>60 ～ 64</t>
  </si>
  <si>
    <t>90 ～ 94</t>
  </si>
  <si>
    <t>65 ～ 69</t>
  </si>
  <si>
    <t>95 ～ 99</t>
  </si>
  <si>
    <t>－</t>
  </si>
  <si>
    <r>
      <t>年齢別割合</t>
    </r>
    <r>
      <rPr>
        <sz val="9"/>
        <rFont val="ＭＳ Ｐ明朝"/>
        <family val="1"/>
      </rPr>
      <t xml:space="preserve"> (%)</t>
    </r>
  </si>
  <si>
    <t>55 ～ 59</t>
  </si>
  <si>
    <t>70 ～ 74</t>
  </si>
  <si>
    <t>75 ～ 79</t>
  </si>
  <si>
    <t>80 ～ 84</t>
  </si>
  <si>
    <t>85 ～ 89</t>
  </si>
  <si>
    <t>. 1</t>
  </si>
  <si>
    <t xml:space="preserve">  2</t>
  </si>
  <si>
    <t xml:space="preserve"> 10</t>
  </si>
  <si>
    <t xml:space="preserve"> 11</t>
  </si>
  <si>
    <t xml:space="preserve"> 12</t>
  </si>
  <si>
    <t>アメリカ</t>
  </si>
  <si>
    <t>イギリス</t>
  </si>
  <si>
    <t>ブラジル</t>
  </si>
  <si>
    <t>インド</t>
  </si>
  <si>
    <t>タイ</t>
  </si>
  <si>
    <t>フィリピン</t>
  </si>
  <si>
    <t>(</t>
  </si>
  <si>
    <t>)</t>
  </si>
  <si>
    <t>（</t>
  </si>
  <si>
    <t>）</t>
  </si>
  <si>
    <t>(</t>
  </si>
  <si>
    <t>)</t>
  </si>
  <si>
    <t>（</t>
  </si>
  <si>
    <t>）</t>
  </si>
  <si>
    <t>　注２：昭和38年5月1日に旧砂川町と合併したため、昭和39年以降は合併した数値である。</t>
  </si>
  <si>
    <t>　注１：この表の数値は、昭和32年までは旧食糧管理法による各年12月末日、同33年から42年までは旧住民登録</t>
  </si>
  <si>
    <t>　　　　法による各年1月1日及び同43年以降は住民基本台帳法による各年1月1日現在のものである。</t>
  </si>
  <si>
    <t>　注：外国人登録者数は含まない。</t>
  </si>
  <si>
    <t>　注：住民基本台帳による人口で、外国人登録者数は含まない。</t>
  </si>
  <si>
    <t>　注：戸籍欄の数値には、非本籍人届出数は含まない。</t>
  </si>
  <si>
    <t>　注：その他の増減中、増加は海外からの転入、帰化等、減少は海外への転出、職権消除等を指す。</t>
  </si>
  <si>
    <t>　注：（　　）は内数。</t>
  </si>
  <si>
    <t>６表　年少 ・ 生産年齢 ・ 老年人口の推移</t>
  </si>
  <si>
    <t>１０表　都道府県別 ・ 男女別転入者数</t>
  </si>
  <si>
    <t>４表　年齢 （ 各歳 ） ，男女別人口</t>
  </si>
  <si>
    <t>第２章　人口</t>
  </si>
  <si>
    <t>平成22年1月1日現在</t>
  </si>
  <si>
    <t>-</t>
  </si>
  <si>
    <t>F列は表示しない</t>
  </si>
  <si>
    <t>面積</t>
  </si>
  <si>
    <r>
      <t xml:space="preserve">人口密度
</t>
    </r>
    <r>
      <rPr>
        <sz val="8"/>
        <rFont val="ＭＳ Ｐ明朝"/>
        <family val="1"/>
      </rPr>
      <t>人／k㎡</t>
    </r>
  </si>
  <si>
    <t>２表　多摩２６市の人口および人口密度</t>
  </si>
  <si>
    <t>　注３：外国人登録者数は含んでいない。</t>
  </si>
  <si>
    <t>平成22年1月1日現在</t>
  </si>
  <si>
    <t>平成22年1月1日現在</t>
  </si>
  <si>
    <t>資料：東京都総務局「住民基本台帳による東京都の世帯と人口」</t>
  </si>
  <si>
    <t>平成21年</t>
  </si>
  <si>
    <t>－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</si>
</sst>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  <numFmt numFmtId="178" formatCode="#,##0;[Red]#,##0"/>
    <numFmt numFmtId="179" formatCode="#,##0_ "/>
    <numFmt numFmtId="180" formatCode="#,##0.00;&quot;△ &quot;#,##0.00"/>
    <numFmt numFmtId="181" formatCode="#,##0.00_ "/>
    <numFmt numFmtId="182" formatCode="#,##0.0;&quot;△ &quot;#,##0.0"/>
    <numFmt numFmtId="183" formatCode="0.00_ "/>
    <numFmt numFmtId="184" formatCode="#,##0_);[Red]\(#,##0\)"/>
    <numFmt numFmtId="185" formatCode="#,##0.00_);[Red]\(#,##0.00\)"/>
    <numFmt numFmtId="186" formatCode="0.00_);[Red]\(0.00\)"/>
    <numFmt numFmtId="187" formatCode="0_ "/>
    <numFmt numFmtId="188" formatCode="#,##0.0_ "/>
    <numFmt numFmtId="189" formatCode="0.E+00"/>
    <numFmt numFmtId="190" formatCode="\ &quot;-&quot;0\ "/>
    <numFmt numFmtId="191" formatCode="0_);[Red]\(0\)"/>
    <numFmt numFmtId="192" formatCode="0.0_);[Red]\(0.0\)"/>
    <numFmt numFmtId="193" formatCode="#,##0.0_);[Red]\(#,##0.0\)"/>
    <numFmt numFmtId="194" formatCode="#,##0.000;&quot;△ &quot;#,##0.00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48"/>
      <name val="HG丸ｺﾞｼｯｸM-PRO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vertAlign val="superscript"/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36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179" fontId="5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4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/>
    </xf>
    <xf numFmtId="184" fontId="3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vertical="center"/>
    </xf>
    <xf numFmtId="179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indent="1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179" fontId="12" fillId="0" borderId="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176" fontId="12" fillId="0" borderId="0" xfId="0" applyNumberFormat="1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0" fontId="12" fillId="0" borderId="0" xfId="0" applyNumberFormat="1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center" vertical="center"/>
    </xf>
    <xf numFmtId="179" fontId="12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vertical="center"/>
    </xf>
    <xf numFmtId="186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horizontal="right" vertical="center"/>
    </xf>
    <xf numFmtId="186" fontId="9" fillId="0" borderId="0" xfId="0" applyNumberFormat="1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49" fontId="12" fillId="0" borderId="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top"/>
    </xf>
    <xf numFmtId="184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distributed" vertical="center"/>
    </xf>
    <xf numFmtId="180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horizontal="right" vertical="center"/>
    </xf>
    <xf numFmtId="18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 vertical="center"/>
    </xf>
    <xf numFmtId="184" fontId="12" fillId="0" borderId="11" xfId="0" applyNumberFormat="1" applyFont="1" applyFill="1" applyBorder="1" applyAlignment="1">
      <alignment horizontal="center"/>
    </xf>
    <xf numFmtId="176" fontId="12" fillId="0" borderId="5" xfId="0" applyNumberFormat="1" applyFont="1" applyFill="1" applyBorder="1" applyAlignment="1">
      <alignment horizontal="center" vertical="center"/>
    </xf>
    <xf numFmtId="184" fontId="12" fillId="0" borderId="5" xfId="0" applyNumberFormat="1" applyFont="1" applyFill="1" applyBorder="1" applyAlignment="1">
      <alignment horizontal="center" vertical="top"/>
    </xf>
    <xf numFmtId="176" fontId="12" fillId="0" borderId="16" xfId="0" applyNumberFormat="1" applyFont="1" applyFill="1" applyBorder="1" applyAlignment="1">
      <alignment horizontal="center"/>
    </xf>
    <xf numFmtId="176" fontId="12" fillId="0" borderId="7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25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84" fontId="12" fillId="0" borderId="0" xfId="0" applyNumberFormat="1" applyFont="1" applyFill="1" applyAlignment="1">
      <alignment vertical="center"/>
    </xf>
    <xf numFmtId="184" fontId="9" fillId="0" borderId="0" xfId="0" applyNumberFormat="1" applyFont="1" applyFill="1" applyBorder="1" applyAlignment="1">
      <alignment/>
    </xf>
    <xf numFmtId="184" fontId="9" fillId="0" borderId="15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179" fontId="12" fillId="0" borderId="2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vertical="center"/>
    </xf>
    <xf numFmtId="191" fontId="12" fillId="0" borderId="27" xfId="0" applyNumberFormat="1" applyFont="1" applyFill="1" applyBorder="1" applyAlignment="1">
      <alignment horizontal="right" vertical="center"/>
    </xf>
    <xf numFmtId="191" fontId="12" fillId="0" borderId="0" xfId="0" applyNumberFormat="1" applyFont="1" applyFill="1" applyAlignment="1">
      <alignment horizontal="right" vertical="center"/>
    </xf>
    <xf numFmtId="192" fontId="1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76" fontId="11" fillId="0" borderId="0" xfId="0" applyNumberFormat="1" applyFont="1" applyFill="1" applyAlignment="1">
      <alignment horizontal="right"/>
    </xf>
    <xf numFmtId="0" fontId="9" fillId="0" borderId="2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12" fillId="0" borderId="0" xfId="0" applyNumberFormat="1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2" fillId="0" borderId="3" xfId="0" applyFont="1" applyFill="1" applyBorder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/>
    </xf>
    <xf numFmtId="0" fontId="11" fillId="0" borderId="2" xfId="0" applyFont="1" applyFill="1" applyBorder="1" applyAlignment="1">
      <alignment/>
    </xf>
    <xf numFmtId="18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179" fontId="11" fillId="0" borderId="13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 indent="1"/>
    </xf>
    <xf numFmtId="0" fontId="12" fillId="0" borderId="32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left" indent="1"/>
    </xf>
    <xf numFmtId="0" fontId="17" fillId="0" borderId="13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/>
    </xf>
    <xf numFmtId="184" fontId="17" fillId="0" borderId="13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184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left" vertical="center" indent="1"/>
    </xf>
    <xf numFmtId="179" fontId="5" fillId="0" borderId="0" xfId="0" applyNumberFormat="1" applyFont="1" applyFill="1" applyAlignment="1">
      <alignment horizontal="right" vertical="center" indent="1"/>
    </xf>
    <xf numFmtId="179" fontId="12" fillId="0" borderId="0" xfId="0" applyNumberFormat="1" applyFont="1" applyFill="1" applyAlignment="1">
      <alignment horizontal="right" vertical="center" indent="1"/>
    </xf>
    <xf numFmtId="179" fontId="14" fillId="0" borderId="0" xfId="0" applyNumberFormat="1" applyFont="1" applyFill="1" applyAlignment="1">
      <alignment horizontal="right" vertical="center" indent="1"/>
    </xf>
    <xf numFmtId="179" fontId="12" fillId="0" borderId="0" xfId="0" applyNumberFormat="1" applyFont="1" applyFill="1" applyBorder="1" applyAlignment="1">
      <alignment horizontal="right" vertical="center" indent="1"/>
    </xf>
    <xf numFmtId="0" fontId="16" fillId="0" borderId="31" xfId="0" applyFont="1" applyFill="1" applyBorder="1" applyAlignment="1">
      <alignment horizontal="center" vertical="center" shrinkToFit="1"/>
    </xf>
    <xf numFmtId="38" fontId="12" fillId="0" borderId="0" xfId="17" applyFont="1" applyFill="1" applyBorder="1" applyAlignment="1" applyProtection="1">
      <alignment horizontal="right"/>
      <protection locked="0"/>
    </xf>
    <xf numFmtId="184" fontId="0" fillId="2" borderId="0" xfId="0" applyNumberFormat="1" applyFill="1" applyAlignment="1">
      <alignment horizontal="center"/>
    </xf>
    <xf numFmtId="0" fontId="0" fillId="0" borderId="0" xfId="0" applyFont="1" applyFill="1" applyBorder="1" applyAlignment="1">
      <alignment/>
    </xf>
    <xf numFmtId="176" fontId="5" fillId="0" borderId="33" xfId="0" applyNumberFormat="1" applyFont="1" applyFill="1" applyBorder="1" applyAlignment="1">
      <alignment horizontal="right" vertical="center"/>
    </xf>
    <xf numFmtId="176" fontId="12" fillId="0" borderId="33" xfId="0" applyNumberFormat="1" applyFont="1" applyFill="1" applyBorder="1" applyAlignment="1">
      <alignment horizontal="right" vertical="center"/>
    </xf>
    <xf numFmtId="38" fontId="12" fillId="0" borderId="33" xfId="17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8" fontId="5" fillId="0" borderId="0" xfId="17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right"/>
    </xf>
    <xf numFmtId="0" fontId="0" fillId="2" borderId="0" xfId="0" applyFill="1" applyAlignment="1">
      <alignment/>
    </xf>
    <xf numFmtId="184" fontId="5" fillId="0" borderId="0" xfId="0" applyNumberFormat="1" applyFont="1" applyFill="1" applyAlignment="1">
      <alignment horizontal="right" vertical="center" indent="1"/>
    </xf>
    <xf numFmtId="184" fontId="12" fillId="0" borderId="0" xfId="0" applyNumberFormat="1" applyFont="1" applyFill="1" applyAlignment="1">
      <alignment horizontal="right" vertical="center" indent="1"/>
    </xf>
    <xf numFmtId="185" fontId="5" fillId="0" borderId="0" xfId="0" applyNumberFormat="1" applyFont="1" applyFill="1" applyAlignment="1">
      <alignment horizontal="right" vertical="center"/>
    </xf>
    <xf numFmtId="185" fontId="12" fillId="0" borderId="0" xfId="0" applyNumberFormat="1" applyFont="1" applyFill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indent="2"/>
    </xf>
    <xf numFmtId="181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right" vertical="center"/>
    </xf>
    <xf numFmtId="193" fontId="12" fillId="0" borderId="33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5" fillId="0" borderId="13" xfId="0" applyNumberFormat="1" applyFont="1" applyFill="1" applyBorder="1" applyAlignment="1">
      <alignment horizontal="right" vertical="center"/>
    </xf>
    <xf numFmtId="179" fontId="12" fillId="0" borderId="3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184" fontId="12" fillId="0" borderId="0" xfId="0" applyNumberFormat="1" applyFont="1" applyFill="1" applyBorder="1" applyAlignment="1">
      <alignment vertical="center"/>
    </xf>
    <xf numFmtId="192" fontId="12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Alignment="1">
      <alignment vertical="center"/>
    </xf>
    <xf numFmtId="0" fontId="9" fillId="0" borderId="2" xfId="0" applyFont="1" applyFill="1" applyBorder="1" applyAlignment="1">
      <alignment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5" fillId="0" borderId="38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16" fillId="0" borderId="25" xfId="0" applyFont="1" applyFill="1" applyBorder="1" applyAlignment="1">
      <alignment vertical="top"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179" fontId="12" fillId="0" borderId="0" xfId="0" applyNumberFormat="1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right" vertical="center"/>
    </xf>
    <xf numFmtId="192" fontId="12" fillId="0" borderId="0" xfId="0" applyNumberFormat="1" applyFont="1" applyFill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84" fontId="12" fillId="0" borderId="0" xfId="0" applyNumberFormat="1" applyFont="1" applyFill="1" applyBorder="1" applyAlignment="1">
      <alignment horizontal="right" vertical="center" indent="1"/>
    </xf>
    <xf numFmtId="0" fontId="19" fillId="0" borderId="0" xfId="0" applyFont="1" applyFill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2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6" fontId="9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 horizontal="right"/>
    </xf>
    <xf numFmtId="0" fontId="11" fillId="0" borderId="9" xfId="0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Alignment="1">
      <alignment horizontal="right" vertical="center"/>
    </xf>
    <xf numFmtId="0" fontId="11" fillId="0" borderId="15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188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/>
    </xf>
    <xf numFmtId="179" fontId="11" fillId="0" borderId="33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176" fontId="11" fillId="0" borderId="33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176" fontId="11" fillId="0" borderId="33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33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4" fillId="0" borderId="33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184" fontId="5" fillId="0" borderId="3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Border="1" applyAlignment="1">
      <alignment horizontal="right" vertical="center"/>
    </xf>
    <xf numFmtId="179" fontId="12" fillId="0" borderId="33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9" fontId="12" fillId="0" borderId="0" xfId="0" applyNumberFormat="1" applyFont="1" applyFill="1" applyAlignment="1">
      <alignment vertical="center"/>
    </xf>
    <xf numFmtId="179" fontId="5" fillId="0" borderId="3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40" xfId="0" applyFont="1" applyFill="1" applyBorder="1" applyAlignment="1">
      <alignment horizontal="distributed" vertical="center" indent="1"/>
    </xf>
    <xf numFmtId="0" fontId="12" fillId="0" borderId="15" xfId="0" applyFont="1" applyFill="1" applyBorder="1" applyAlignment="1">
      <alignment horizontal="distributed" vertical="center" indent="1"/>
    </xf>
    <xf numFmtId="0" fontId="12" fillId="0" borderId="3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C25" sqref="C25"/>
    </sheetView>
  </sheetViews>
  <sheetFormatPr defaultColWidth="9.00390625" defaultRowHeight="13.5"/>
  <cols>
    <col min="1" max="16384" width="9.50390625" style="2" customWidth="1"/>
  </cols>
  <sheetData>
    <row r="1" ht="26.25" customHeight="1"/>
    <row r="2" ht="22.5" customHeight="1"/>
    <row r="4" ht="145.5" customHeight="1"/>
    <row r="5" spans="1:9" s="11" customFormat="1" ht="55.5" customHeight="1">
      <c r="A5" s="288" t="s">
        <v>335</v>
      </c>
      <c r="B5" s="288"/>
      <c r="C5" s="288"/>
      <c r="D5" s="288"/>
      <c r="E5" s="288"/>
      <c r="F5" s="288"/>
      <c r="G5" s="288"/>
      <c r="H5" s="288"/>
      <c r="I5" s="288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&amp;R&amp;8人　口　　　　29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6">
      <selection activeCell="C25" sqref="C25"/>
    </sheetView>
  </sheetViews>
  <sheetFormatPr defaultColWidth="9.00390625" defaultRowHeight="13.5"/>
  <cols>
    <col min="1" max="1" width="3.125" style="231" customWidth="1"/>
    <col min="2" max="2" width="9.375" style="231" customWidth="1"/>
    <col min="3" max="3" width="1.875" style="231" customWidth="1"/>
    <col min="4" max="4" width="6.875" style="231" customWidth="1"/>
    <col min="5" max="6" width="1.25" style="231" customWidth="1"/>
    <col min="7" max="7" width="7.50390625" style="231" customWidth="1"/>
    <col min="8" max="9" width="1.25" style="231" customWidth="1"/>
    <col min="10" max="10" width="7.50390625" style="231" customWidth="1"/>
    <col min="11" max="11" width="1.25" style="231" customWidth="1"/>
    <col min="12" max="12" width="12.50390625" style="231" customWidth="1"/>
    <col min="13" max="13" width="8.75390625" style="231" customWidth="1"/>
    <col min="14" max="14" width="1.25" style="231" customWidth="1"/>
    <col min="15" max="15" width="8.75390625" style="231" customWidth="1"/>
    <col min="16" max="16" width="2.125" style="231" customWidth="1"/>
    <col min="17" max="17" width="8.75390625" style="231" customWidth="1"/>
    <col min="18" max="18" width="1.25" style="231" customWidth="1"/>
    <col min="19" max="16384" width="9.00390625" style="231" customWidth="1"/>
  </cols>
  <sheetData>
    <row r="1" spans="1:18" s="237" customFormat="1" ht="26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8" s="210" customFormat="1" ht="22.5" customHeight="1">
      <c r="A2" s="26" t="s">
        <v>333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0" t="s">
        <v>346</v>
      </c>
    </row>
    <row r="4" spans="1:18" ht="22.5" customHeight="1">
      <c r="A4" s="350" t="s">
        <v>61</v>
      </c>
      <c r="B4" s="291"/>
      <c r="C4" s="370" t="s">
        <v>8</v>
      </c>
      <c r="D4" s="370"/>
      <c r="E4" s="370"/>
      <c r="F4" s="370" t="s">
        <v>9</v>
      </c>
      <c r="G4" s="370"/>
      <c r="H4" s="370"/>
      <c r="I4" s="370" t="s">
        <v>10</v>
      </c>
      <c r="J4" s="370"/>
      <c r="K4" s="371"/>
      <c r="L4" s="180" t="s">
        <v>61</v>
      </c>
      <c r="M4" s="370" t="s">
        <v>8</v>
      </c>
      <c r="N4" s="370"/>
      <c r="O4" s="370" t="s">
        <v>9</v>
      </c>
      <c r="P4" s="370"/>
      <c r="Q4" s="370" t="s">
        <v>10</v>
      </c>
      <c r="R4" s="371"/>
    </row>
    <row r="5" spans="1:18" ht="22.5" customHeight="1">
      <c r="A5" s="374" t="s">
        <v>11</v>
      </c>
      <c r="B5" s="375"/>
      <c r="C5" s="5"/>
      <c r="D5" s="238">
        <f>SUM(G5,J5)</f>
        <v>10810</v>
      </c>
      <c r="E5" s="5"/>
      <c r="F5" s="5"/>
      <c r="G5" s="238">
        <f>SUM(G7:G19,G22:G33,O7:O28,O30:O31)</f>
        <v>5909</v>
      </c>
      <c r="H5" s="5"/>
      <c r="I5" s="5"/>
      <c r="J5" s="238">
        <f>SUM(J7:J19,J22:J33,Q7:Q28,Q30:Q31)</f>
        <v>4901</v>
      </c>
      <c r="K5" s="5"/>
      <c r="L5" s="181"/>
      <c r="M5" s="179"/>
      <c r="N5" s="179"/>
      <c r="O5" s="179"/>
      <c r="P5" s="179"/>
      <c r="Q5" s="179"/>
      <c r="R5" s="33"/>
    </row>
    <row r="6" spans="1:18" ht="5.25" customHeight="1">
      <c r="A6" s="372"/>
      <c r="B6" s="373"/>
      <c r="C6" s="141"/>
      <c r="D6" s="141"/>
      <c r="E6" s="141"/>
      <c r="F6" s="141"/>
      <c r="G6" s="141"/>
      <c r="H6" s="141"/>
      <c r="I6" s="42"/>
      <c r="J6" s="42"/>
      <c r="K6" s="42"/>
      <c r="L6" s="182"/>
      <c r="M6" s="179"/>
      <c r="N6" s="179"/>
      <c r="O6" s="179"/>
      <c r="P6" s="179"/>
      <c r="Q6" s="179"/>
      <c r="R6" s="33"/>
    </row>
    <row r="7" spans="1:18" ht="22.5" customHeight="1">
      <c r="A7" s="372" t="s">
        <v>62</v>
      </c>
      <c r="B7" s="373"/>
      <c r="C7" s="42"/>
      <c r="D7" s="42">
        <f>SUM(G7,J7)</f>
        <v>200</v>
      </c>
      <c r="E7" s="42"/>
      <c r="F7" s="42"/>
      <c r="G7" s="42">
        <v>111</v>
      </c>
      <c r="H7" s="42"/>
      <c r="I7" s="42"/>
      <c r="J7" s="42">
        <v>89</v>
      </c>
      <c r="K7" s="42"/>
      <c r="L7" s="183" t="s">
        <v>87</v>
      </c>
      <c r="M7" s="239">
        <f>SUM(O7,Q7)</f>
        <v>46</v>
      </c>
      <c r="N7" s="42"/>
      <c r="O7" s="42">
        <v>21</v>
      </c>
      <c r="P7" s="42"/>
      <c r="Q7" s="42">
        <v>25</v>
      </c>
      <c r="R7" s="33"/>
    </row>
    <row r="8" spans="1:18" ht="22.5" customHeight="1">
      <c r="A8" s="372" t="s">
        <v>63</v>
      </c>
      <c r="B8" s="373"/>
      <c r="C8" s="42"/>
      <c r="D8" s="42">
        <f aca="true" t="shared" si="0" ref="D8:D33">SUM(G8,J8)</f>
        <v>80</v>
      </c>
      <c r="E8" s="42"/>
      <c r="F8" s="42"/>
      <c r="G8" s="42">
        <v>44</v>
      </c>
      <c r="H8" s="42"/>
      <c r="I8" s="42"/>
      <c r="J8" s="42">
        <v>36</v>
      </c>
      <c r="K8" s="42"/>
      <c r="L8" s="183" t="s">
        <v>88</v>
      </c>
      <c r="M8" s="239">
        <f aca="true" t="shared" si="1" ref="M8:M30">SUM(O8,Q8)</f>
        <v>155</v>
      </c>
      <c r="N8" s="42"/>
      <c r="O8" s="42">
        <v>86</v>
      </c>
      <c r="P8" s="42"/>
      <c r="Q8" s="42">
        <v>69</v>
      </c>
      <c r="R8" s="33"/>
    </row>
    <row r="9" spans="1:18" ht="22.5" customHeight="1">
      <c r="A9" s="372" t="s">
        <v>64</v>
      </c>
      <c r="B9" s="373"/>
      <c r="C9" s="42"/>
      <c r="D9" s="42">
        <f t="shared" si="0"/>
        <v>62</v>
      </c>
      <c r="E9" s="42"/>
      <c r="F9" s="42"/>
      <c r="G9" s="42">
        <v>29</v>
      </c>
      <c r="H9" s="42"/>
      <c r="I9" s="42"/>
      <c r="J9" s="42">
        <v>33</v>
      </c>
      <c r="K9" s="42"/>
      <c r="L9" s="183" t="s">
        <v>89</v>
      </c>
      <c r="M9" s="239">
        <f t="shared" si="1"/>
        <v>86</v>
      </c>
      <c r="N9" s="42"/>
      <c r="O9" s="42">
        <v>50</v>
      </c>
      <c r="P9" s="42"/>
      <c r="Q9" s="42">
        <v>36</v>
      </c>
      <c r="R9" s="33"/>
    </row>
    <row r="10" spans="1:18" ht="22.5" customHeight="1">
      <c r="A10" s="372" t="s">
        <v>65</v>
      </c>
      <c r="B10" s="373"/>
      <c r="C10" s="42"/>
      <c r="D10" s="42">
        <f t="shared" si="0"/>
        <v>134</v>
      </c>
      <c r="E10" s="42"/>
      <c r="F10" s="42"/>
      <c r="G10" s="42">
        <v>74</v>
      </c>
      <c r="H10" s="42"/>
      <c r="I10" s="42"/>
      <c r="J10" s="42">
        <v>60</v>
      </c>
      <c r="K10" s="42"/>
      <c r="L10" s="183" t="s">
        <v>90</v>
      </c>
      <c r="M10" s="239">
        <f t="shared" si="1"/>
        <v>26</v>
      </c>
      <c r="N10" s="42"/>
      <c r="O10" s="42">
        <v>12</v>
      </c>
      <c r="P10" s="42"/>
      <c r="Q10" s="42">
        <v>14</v>
      </c>
      <c r="R10" s="33"/>
    </row>
    <row r="11" spans="1:18" ht="22.5" customHeight="1">
      <c r="A11" s="372" t="s">
        <v>66</v>
      </c>
      <c r="B11" s="373"/>
      <c r="C11" s="42"/>
      <c r="D11" s="42">
        <f t="shared" si="0"/>
        <v>39</v>
      </c>
      <c r="E11" s="42"/>
      <c r="F11" s="42"/>
      <c r="G11" s="42">
        <v>21</v>
      </c>
      <c r="H11" s="42"/>
      <c r="I11" s="42"/>
      <c r="J11" s="42">
        <v>18</v>
      </c>
      <c r="K11" s="42"/>
      <c r="L11" s="183" t="s">
        <v>91</v>
      </c>
      <c r="M11" s="239">
        <f t="shared" si="1"/>
        <v>13</v>
      </c>
      <c r="N11" s="42"/>
      <c r="O11" s="42">
        <v>5</v>
      </c>
      <c r="P11" s="42"/>
      <c r="Q11" s="42">
        <v>8</v>
      </c>
      <c r="R11" s="33"/>
    </row>
    <row r="12" spans="1:18" ht="22.5" customHeight="1">
      <c r="A12" s="372" t="s">
        <v>67</v>
      </c>
      <c r="B12" s="373"/>
      <c r="C12" s="42"/>
      <c r="D12" s="42">
        <f t="shared" si="0"/>
        <v>60</v>
      </c>
      <c r="E12" s="42"/>
      <c r="F12" s="42"/>
      <c r="G12" s="42">
        <v>33</v>
      </c>
      <c r="H12" s="42"/>
      <c r="I12" s="42"/>
      <c r="J12" s="42">
        <v>27</v>
      </c>
      <c r="K12" s="42"/>
      <c r="L12" s="183" t="s">
        <v>92</v>
      </c>
      <c r="M12" s="239">
        <f t="shared" si="1"/>
        <v>14</v>
      </c>
      <c r="N12" s="42"/>
      <c r="O12" s="42">
        <v>4</v>
      </c>
      <c r="P12" s="42"/>
      <c r="Q12" s="42">
        <v>10</v>
      </c>
      <c r="R12" s="33"/>
    </row>
    <row r="13" spans="1:18" ht="22.5" customHeight="1">
      <c r="A13" s="372" t="s">
        <v>68</v>
      </c>
      <c r="B13" s="373"/>
      <c r="C13" s="42"/>
      <c r="D13" s="42">
        <f t="shared" si="0"/>
        <v>96</v>
      </c>
      <c r="E13" s="42"/>
      <c r="F13" s="42"/>
      <c r="G13" s="42">
        <v>44</v>
      </c>
      <c r="H13" s="42"/>
      <c r="I13" s="42"/>
      <c r="J13" s="42">
        <v>52</v>
      </c>
      <c r="K13" s="42"/>
      <c r="L13" s="183" t="s">
        <v>93</v>
      </c>
      <c r="M13" s="239">
        <f t="shared" si="1"/>
        <v>14</v>
      </c>
      <c r="N13" s="42"/>
      <c r="O13" s="42">
        <v>7</v>
      </c>
      <c r="P13" s="42"/>
      <c r="Q13" s="42">
        <v>7</v>
      </c>
      <c r="R13" s="33"/>
    </row>
    <row r="14" spans="1:18" ht="22.5" customHeight="1">
      <c r="A14" s="372" t="s">
        <v>69</v>
      </c>
      <c r="B14" s="373"/>
      <c r="C14" s="42"/>
      <c r="D14" s="42">
        <f t="shared" si="0"/>
        <v>130</v>
      </c>
      <c r="E14" s="42"/>
      <c r="F14" s="42"/>
      <c r="G14" s="42">
        <v>76</v>
      </c>
      <c r="H14" s="42"/>
      <c r="I14" s="42"/>
      <c r="J14" s="42">
        <v>54</v>
      </c>
      <c r="K14" s="42"/>
      <c r="L14" s="183" t="s">
        <v>94</v>
      </c>
      <c r="M14" s="239">
        <f t="shared" si="1"/>
        <v>37</v>
      </c>
      <c r="N14" s="42"/>
      <c r="O14" s="42">
        <v>17</v>
      </c>
      <c r="P14" s="42"/>
      <c r="Q14" s="42">
        <v>20</v>
      </c>
      <c r="R14" s="33"/>
    </row>
    <row r="15" spans="1:18" ht="22.5" customHeight="1">
      <c r="A15" s="372" t="s">
        <v>70</v>
      </c>
      <c r="B15" s="373"/>
      <c r="C15" s="42"/>
      <c r="D15" s="42">
        <f t="shared" si="0"/>
        <v>145</v>
      </c>
      <c r="E15" s="42"/>
      <c r="F15" s="42"/>
      <c r="G15" s="42">
        <v>79</v>
      </c>
      <c r="H15" s="42"/>
      <c r="I15" s="42"/>
      <c r="J15" s="42">
        <v>66</v>
      </c>
      <c r="K15" s="42"/>
      <c r="L15" s="183" t="s">
        <v>95</v>
      </c>
      <c r="M15" s="239">
        <f t="shared" si="1"/>
        <v>74</v>
      </c>
      <c r="N15" s="42"/>
      <c r="O15" s="42">
        <v>40</v>
      </c>
      <c r="P15" s="42"/>
      <c r="Q15" s="42">
        <v>34</v>
      </c>
      <c r="R15" s="33"/>
    </row>
    <row r="16" spans="1:18" ht="22.5" customHeight="1">
      <c r="A16" s="372" t="s">
        <v>71</v>
      </c>
      <c r="B16" s="373"/>
      <c r="C16" s="42"/>
      <c r="D16" s="42">
        <f t="shared" si="0"/>
        <v>111</v>
      </c>
      <c r="E16" s="42"/>
      <c r="F16" s="42"/>
      <c r="G16" s="42">
        <v>55</v>
      </c>
      <c r="H16" s="42"/>
      <c r="I16" s="42"/>
      <c r="J16" s="42">
        <v>56</v>
      </c>
      <c r="K16" s="42"/>
      <c r="L16" s="183" t="s">
        <v>96</v>
      </c>
      <c r="M16" s="239">
        <f t="shared" si="1"/>
        <v>39</v>
      </c>
      <c r="N16" s="42"/>
      <c r="O16" s="42">
        <v>22</v>
      </c>
      <c r="P16" s="42"/>
      <c r="Q16" s="42">
        <v>17</v>
      </c>
      <c r="R16" s="33"/>
    </row>
    <row r="17" spans="1:18" ht="22.5" customHeight="1">
      <c r="A17" s="372" t="s">
        <v>72</v>
      </c>
      <c r="B17" s="373"/>
      <c r="C17" s="42"/>
      <c r="D17" s="42">
        <f t="shared" si="0"/>
        <v>594</v>
      </c>
      <c r="E17" s="42"/>
      <c r="F17" s="42"/>
      <c r="G17" s="42">
        <v>322</v>
      </c>
      <c r="H17" s="42"/>
      <c r="I17" s="42"/>
      <c r="J17" s="42">
        <v>272</v>
      </c>
      <c r="K17" s="42"/>
      <c r="L17" s="183" t="s">
        <v>97</v>
      </c>
      <c r="M17" s="239">
        <f t="shared" si="1"/>
        <v>11</v>
      </c>
      <c r="N17" s="42"/>
      <c r="O17" s="42">
        <v>6</v>
      </c>
      <c r="P17" s="42"/>
      <c r="Q17" s="42">
        <v>5</v>
      </c>
      <c r="R17" s="33"/>
    </row>
    <row r="18" spans="1:18" ht="22.5" customHeight="1">
      <c r="A18" s="372" t="s">
        <v>112</v>
      </c>
      <c r="B18" s="373"/>
      <c r="C18" s="42"/>
      <c r="D18" s="42">
        <f t="shared" si="0"/>
        <v>361</v>
      </c>
      <c r="E18" s="42"/>
      <c r="F18" s="42"/>
      <c r="G18" s="42">
        <v>215</v>
      </c>
      <c r="H18" s="42"/>
      <c r="I18" s="42"/>
      <c r="J18" s="42">
        <v>146</v>
      </c>
      <c r="K18" s="42"/>
      <c r="L18" s="183" t="s">
        <v>98</v>
      </c>
      <c r="M18" s="239">
        <f t="shared" si="1"/>
        <v>28</v>
      </c>
      <c r="N18" s="42"/>
      <c r="O18" s="42">
        <v>15</v>
      </c>
      <c r="P18" s="42"/>
      <c r="Q18" s="42">
        <v>13</v>
      </c>
      <c r="R18" s="33"/>
    </row>
    <row r="19" spans="1:18" ht="22.5" customHeight="1">
      <c r="A19" s="372" t="s">
        <v>73</v>
      </c>
      <c r="B19" s="373"/>
      <c r="C19" s="42"/>
      <c r="D19" s="42">
        <f t="shared" si="0"/>
        <v>5853</v>
      </c>
      <c r="E19" s="42"/>
      <c r="F19" s="42"/>
      <c r="G19" s="42">
        <f>SUM(G20:G21)</f>
        <v>3208</v>
      </c>
      <c r="H19" s="42"/>
      <c r="I19" s="42"/>
      <c r="J19" s="42">
        <f>SUM(J20:J21)</f>
        <v>2645</v>
      </c>
      <c r="K19" s="42"/>
      <c r="L19" s="183" t="s">
        <v>99</v>
      </c>
      <c r="M19" s="239">
        <f t="shared" si="1"/>
        <v>25</v>
      </c>
      <c r="N19" s="42"/>
      <c r="O19" s="42">
        <v>14</v>
      </c>
      <c r="P19" s="42"/>
      <c r="Q19" s="42">
        <v>11</v>
      </c>
      <c r="R19" s="33"/>
    </row>
    <row r="20" spans="1:18" ht="22.5" customHeight="1">
      <c r="A20" s="185"/>
      <c r="B20" s="186" t="s">
        <v>111</v>
      </c>
      <c r="C20" s="42" t="s">
        <v>316</v>
      </c>
      <c r="D20" s="42">
        <f t="shared" si="0"/>
        <v>1470</v>
      </c>
      <c r="E20" s="42" t="s">
        <v>317</v>
      </c>
      <c r="F20" s="42" t="s">
        <v>318</v>
      </c>
      <c r="G20" s="42">
        <v>866</v>
      </c>
      <c r="H20" s="42" t="s">
        <v>317</v>
      </c>
      <c r="I20" s="42" t="s">
        <v>318</v>
      </c>
      <c r="J20" s="42">
        <v>604</v>
      </c>
      <c r="K20" s="42" t="s">
        <v>319</v>
      </c>
      <c r="L20" s="183" t="s">
        <v>100</v>
      </c>
      <c r="M20" s="239">
        <f t="shared" si="1"/>
        <v>17</v>
      </c>
      <c r="N20" s="42"/>
      <c r="O20" s="42">
        <v>9</v>
      </c>
      <c r="P20" s="42"/>
      <c r="Q20" s="42">
        <v>8</v>
      </c>
      <c r="R20" s="33"/>
    </row>
    <row r="21" spans="1:18" ht="22.5" customHeight="1">
      <c r="A21" s="185"/>
      <c r="B21" s="186" t="s">
        <v>74</v>
      </c>
      <c r="C21" s="42" t="s">
        <v>320</v>
      </c>
      <c r="D21" s="42">
        <f t="shared" si="0"/>
        <v>4383</v>
      </c>
      <c r="E21" s="42" t="s">
        <v>321</v>
      </c>
      <c r="F21" s="42" t="s">
        <v>322</v>
      </c>
      <c r="G21" s="42">
        <v>2342</v>
      </c>
      <c r="H21" s="42" t="s">
        <v>321</v>
      </c>
      <c r="I21" s="42" t="s">
        <v>322</v>
      </c>
      <c r="J21" s="42">
        <v>2041</v>
      </c>
      <c r="K21" s="42" t="s">
        <v>323</v>
      </c>
      <c r="L21" s="183" t="s">
        <v>101</v>
      </c>
      <c r="M21" s="239">
        <f t="shared" si="1"/>
        <v>140</v>
      </c>
      <c r="N21" s="42"/>
      <c r="O21" s="42">
        <v>78</v>
      </c>
      <c r="P21" s="42"/>
      <c r="Q21" s="42">
        <v>62</v>
      </c>
      <c r="R21" s="33"/>
    </row>
    <row r="22" spans="1:18" ht="22.5" customHeight="1">
      <c r="A22" s="372" t="s">
        <v>75</v>
      </c>
      <c r="B22" s="373"/>
      <c r="C22" s="42"/>
      <c r="D22" s="42">
        <f t="shared" si="0"/>
        <v>779</v>
      </c>
      <c r="E22" s="42"/>
      <c r="F22" s="42"/>
      <c r="G22" s="42">
        <v>468</v>
      </c>
      <c r="H22" s="42"/>
      <c r="I22" s="42"/>
      <c r="J22" s="42">
        <v>311</v>
      </c>
      <c r="K22" s="42"/>
      <c r="L22" s="183" t="s">
        <v>102</v>
      </c>
      <c r="M22" s="239">
        <f t="shared" si="1"/>
        <v>23</v>
      </c>
      <c r="N22" s="42"/>
      <c r="O22" s="42">
        <v>11</v>
      </c>
      <c r="P22" s="42"/>
      <c r="Q22" s="42">
        <v>12</v>
      </c>
      <c r="R22" s="33"/>
    </row>
    <row r="23" spans="1:18" ht="22.5" customHeight="1">
      <c r="A23" s="372" t="s">
        <v>76</v>
      </c>
      <c r="B23" s="373"/>
      <c r="C23" s="42"/>
      <c r="D23" s="42">
        <f t="shared" si="0"/>
        <v>83</v>
      </c>
      <c r="E23" s="42"/>
      <c r="F23" s="42"/>
      <c r="G23" s="42">
        <v>39</v>
      </c>
      <c r="H23" s="42"/>
      <c r="I23" s="42"/>
      <c r="J23" s="42">
        <v>44</v>
      </c>
      <c r="K23" s="42"/>
      <c r="L23" s="183" t="s">
        <v>103</v>
      </c>
      <c r="M23" s="239">
        <f t="shared" si="1"/>
        <v>31</v>
      </c>
      <c r="N23" s="42"/>
      <c r="O23" s="42">
        <v>17</v>
      </c>
      <c r="P23" s="42"/>
      <c r="Q23" s="42">
        <v>14</v>
      </c>
      <c r="R23" s="33"/>
    </row>
    <row r="24" spans="1:18" ht="22.5" customHeight="1">
      <c r="A24" s="372" t="s">
        <v>77</v>
      </c>
      <c r="B24" s="373"/>
      <c r="C24" s="42"/>
      <c r="D24" s="42">
        <f t="shared" si="0"/>
        <v>28</v>
      </c>
      <c r="E24" s="42"/>
      <c r="F24" s="42"/>
      <c r="G24" s="42">
        <v>12</v>
      </c>
      <c r="H24" s="42"/>
      <c r="I24" s="42"/>
      <c r="J24" s="42">
        <v>16</v>
      </c>
      <c r="K24" s="42"/>
      <c r="L24" s="183" t="s">
        <v>104</v>
      </c>
      <c r="M24" s="239">
        <f t="shared" si="1"/>
        <v>37</v>
      </c>
      <c r="N24" s="42"/>
      <c r="O24" s="42">
        <v>21</v>
      </c>
      <c r="P24" s="42"/>
      <c r="Q24" s="42">
        <v>16</v>
      </c>
      <c r="R24" s="33"/>
    </row>
    <row r="25" spans="1:18" ht="22.5" customHeight="1">
      <c r="A25" s="372" t="s">
        <v>78</v>
      </c>
      <c r="B25" s="373"/>
      <c r="C25" s="42"/>
      <c r="D25" s="42">
        <f t="shared" si="0"/>
        <v>40</v>
      </c>
      <c r="E25" s="42"/>
      <c r="F25" s="42"/>
      <c r="G25" s="42">
        <v>22</v>
      </c>
      <c r="H25" s="42"/>
      <c r="I25" s="42"/>
      <c r="J25" s="42">
        <v>18</v>
      </c>
      <c r="K25" s="42"/>
      <c r="L25" s="183" t="s">
        <v>105</v>
      </c>
      <c r="M25" s="239">
        <f t="shared" si="1"/>
        <v>19</v>
      </c>
      <c r="N25" s="42"/>
      <c r="O25" s="42">
        <v>12</v>
      </c>
      <c r="P25" s="42"/>
      <c r="Q25" s="42">
        <v>7</v>
      </c>
      <c r="R25" s="33"/>
    </row>
    <row r="26" spans="1:18" ht="22.5" customHeight="1">
      <c r="A26" s="372" t="s">
        <v>79</v>
      </c>
      <c r="B26" s="373"/>
      <c r="C26" s="42"/>
      <c r="D26" s="42">
        <f t="shared" si="0"/>
        <v>15</v>
      </c>
      <c r="E26" s="42"/>
      <c r="F26" s="42"/>
      <c r="G26" s="42">
        <v>4</v>
      </c>
      <c r="H26" s="42"/>
      <c r="I26" s="42"/>
      <c r="J26" s="42">
        <v>11</v>
      </c>
      <c r="K26" s="42"/>
      <c r="L26" s="183" t="s">
        <v>106</v>
      </c>
      <c r="M26" s="239">
        <f t="shared" si="1"/>
        <v>31</v>
      </c>
      <c r="N26" s="42"/>
      <c r="O26" s="42">
        <v>15</v>
      </c>
      <c r="P26" s="42"/>
      <c r="Q26" s="42">
        <v>16</v>
      </c>
      <c r="R26" s="33"/>
    </row>
    <row r="27" spans="1:18" ht="22.5" customHeight="1">
      <c r="A27" s="372" t="s">
        <v>80</v>
      </c>
      <c r="B27" s="373"/>
      <c r="C27" s="42"/>
      <c r="D27" s="42">
        <f t="shared" si="0"/>
        <v>137</v>
      </c>
      <c r="E27" s="42"/>
      <c r="F27" s="42"/>
      <c r="G27" s="42">
        <v>72</v>
      </c>
      <c r="H27" s="42"/>
      <c r="I27" s="42"/>
      <c r="J27" s="42">
        <v>65</v>
      </c>
      <c r="K27" s="42"/>
      <c r="L27" s="183" t="s">
        <v>107</v>
      </c>
      <c r="M27" s="239">
        <f t="shared" si="1"/>
        <v>54</v>
      </c>
      <c r="N27" s="42"/>
      <c r="O27" s="42">
        <v>33</v>
      </c>
      <c r="P27" s="42"/>
      <c r="Q27" s="42">
        <v>21</v>
      </c>
      <c r="R27" s="33"/>
    </row>
    <row r="28" spans="1:18" ht="22.5" customHeight="1">
      <c r="A28" s="372" t="s">
        <v>81</v>
      </c>
      <c r="B28" s="373"/>
      <c r="C28" s="42"/>
      <c r="D28" s="42">
        <f t="shared" si="0"/>
        <v>154</v>
      </c>
      <c r="E28" s="42"/>
      <c r="F28" s="42"/>
      <c r="G28" s="42">
        <v>77</v>
      </c>
      <c r="H28" s="42"/>
      <c r="I28" s="42"/>
      <c r="J28" s="42">
        <v>77</v>
      </c>
      <c r="K28" s="42"/>
      <c r="L28" s="183" t="s">
        <v>108</v>
      </c>
      <c r="M28" s="239">
        <f t="shared" si="1"/>
        <v>62</v>
      </c>
      <c r="N28" s="42"/>
      <c r="O28" s="42">
        <v>33</v>
      </c>
      <c r="P28" s="42"/>
      <c r="Q28" s="42">
        <v>29</v>
      </c>
      <c r="R28" s="33"/>
    </row>
    <row r="29" spans="1:18" ht="22.5" customHeight="1">
      <c r="A29" s="372" t="s">
        <v>82</v>
      </c>
      <c r="B29" s="373"/>
      <c r="C29" s="42"/>
      <c r="D29" s="42">
        <f t="shared" si="0"/>
        <v>59</v>
      </c>
      <c r="E29" s="42"/>
      <c r="F29" s="42"/>
      <c r="G29" s="42">
        <v>31</v>
      </c>
      <c r="H29" s="42"/>
      <c r="I29" s="42"/>
      <c r="J29" s="42">
        <v>28</v>
      </c>
      <c r="K29" s="42"/>
      <c r="L29" s="183"/>
      <c r="M29" s="42"/>
      <c r="N29" s="42"/>
      <c r="O29" s="42"/>
      <c r="P29" s="42"/>
      <c r="Q29" s="42"/>
      <c r="R29" s="33"/>
    </row>
    <row r="30" spans="1:18" ht="22.5" customHeight="1">
      <c r="A30" s="372" t="s">
        <v>83</v>
      </c>
      <c r="B30" s="373"/>
      <c r="C30" s="42"/>
      <c r="D30" s="42">
        <f t="shared" si="0"/>
        <v>153</v>
      </c>
      <c r="E30" s="42"/>
      <c r="F30" s="42"/>
      <c r="G30" s="42">
        <v>81</v>
      </c>
      <c r="H30" s="42"/>
      <c r="I30" s="42"/>
      <c r="J30" s="42">
        <v>72</v>
      </c>
      <c r="K30" s="42"/>
      <c r="L30" s="183" t="s">
        <v>109</v>
      </c>
      <c r="M30" s="239">
        <f t="shared" si="1"/>
        <v>329</v>
      </c>
      <c r="N30" s="42"/>
      <c r="O30" s="42">
        <v>152</v>
      </c>
      <c r="P30" s="42"/>
      <c r="Q30" s="42">
        <v>177</v>
      </c>
      <c r="R30" s="33"/>
    </row>
    <row r="31" spans="1:18" ht="22.5" customHeight="1">
      <c r="A31" s="372" t="s">
        <v>84</v>
      </c>
      <c r="B31" s="373"/>
      <c r="C31" s="42"/>
      <c r="D31" s="42">
        <f t="shared" si="0"/>
        <v>137</v>
      </c>
      <c r="E31" s="42"/>
      <c r="F31" s="42"/>
      <c r="G31" s="42">
        <v>82</v>
      </c>
      <c r="H31" s="42"/>
      <c r="I31" s="42"/>
      <c r="J31" s="42">
        <v>55</v>
      </c>
      <c r="K31" s="42"/>
      <c r="L31" s="203" t="s">
        <v>110</v>
      </c>
      <c r="M31" s="239" t="s">
        <v>347</v>
      </c>
      <c r="N31" s="42"/>
      <c r="O31" s="42" t="s">
        <v>347</v>
      </c>
      <c r="P31" s="42"/>
      <c r="Q31" s="42" t="s">
        <v>347</v>
      </c>
      <c r="R31" s="33"/>
    </row>
    <row r="32" spans="1:18" ht="22.5" customHeight="1">
      <c r="A32" s="372" t="s">
        <v>85</v>
      </c>
      <c r="B32" s="373"/>
      <c r="C32" s="42"/>
      <c r="D32" s="42">
        <f t="shared" si="0"/>
        <v>27</v>
      </c>
      <c r="E32" s="42"/>
      <c r="F32" s="42"/>
      <c r="G32" s="42">
        <v>15</v>
      </c>
      <c r="H32" s="42"/>
      <c r="I32" s="42"/>
      <c r="J32" s="42">
        <v>12</v>
      </c>
      <c r="K32" s="42"/>
      <c r="L32" s="183"/>
      <c r="M32" s="29"/>
      <c r="N32" s="29"/>
      <c r="O32" s="29"/>
      <c r="P32" s="29"/>
      <c r="Q32" s="29"/>
      <c r="R32" s="33"/>
    </row>
    <row r="33" spans="1:18" ht="22.5" customHeight="1">
      <c r="A33" s="376" t="s">
        <v>86</v>
      </c>
      <c r="B33" s="377"/>
      <c r="C33" s="42"/>
      <c r="D33" s="63">
        <f t="shared" si="0"/>
        <v>22</v>
      </c>
      <c r="E33" s="42"/>
      <c r="F33" s="42"/>
      <c r="G33" s="63">
        <v>15</v>
      </c>
      <c r="H33" s="42"/>
      <c r="I33" s="42"/>
      <c r="J33" s="63">
        <v>7</v>
      </c>
      <c r="K33" s="42"/>
      <c r="L33" s="184"/>
      <c r="M33" s="42"/>
      <c r="N33" s="42"/>
      <c r="O33" s="42"/>
      <c r="P33" s="42"/>
      <c r="Q33" s="42"/>
      <c r="R33" s="33"/>
    </row>
    <row r="34" spans="1:18" ht="13.5">
      <c r="A34" s="188" t="s">
        <v>260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33"/>
    </row>
    <row r="35" ht="13.5">
      <c r="A35" s="192" t="s">
        <v>331</v>
      </c>
    </row>
  </sheetData>
  <mergeCells count="34">
    <mergeCell ref="A33:B33"/>
    <mergeCell ref="A6:B6"/>
    <mergeCell ref="A29:B29"/>
    <mergeCell ref="A30:B30"/>
    <mergeCell ref="A31:B31"/>
    <mergeCell ref="A32:B32"/>
    <mergeCell ref="A25:B25"/>
    <mergeCell ref="A18:B18"/>
    <mergeCell ref="A26:B26"/>
    <mergeCell ref="A27:B27"/>
    <mergeCell ref="A15:B15"/>
    <mergeCell ref="A16:B16"/>
    <mergeCell ref="A17:B17"/>
    <mergeCell ref="A28:B28"/>
    <mergeCell ref="A19:B19"/>
    <mergeCell ref="A22:B22"/>
    <mergeCell ref="A23:B23"/>
    <mergeCell ref="A24:B24"/>
    <mergeCell ref="A11:B11"/>
    <mergeCell ref="A12:B12"/>
    <mergeCell ref="A13:B13"/>
    <mergeCell ref="A14:B14"/>
    <mergeCell ref="A8:B8"/>
    <mergeCell ref="A9:B9"/>
    <mergeCell ref="A5:B5"/>
    <mergeCell ref="A10:B10"/>
    <mergeCell ref="O4:P4"/>
    <mergeCell ref="Q4:R4"/>
    <mergeCell ref="A4:B4"/>
    <mergeCell ref="A7:B7"/>
    <mergeCell ref="C4:E4"/>
    <mergeCell ref="F4:H4"/>
    <mergeCell ref="I4:K4"/>
    <mergeCell ref="M4:N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38　　　　人　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C25" sqref="C25"/>
    </sheetView>
  </sheetViews>
  <sheetFormatPr defaultColWidth="9.00390625" defaultRowHeight="13.5"/>
  <cols>
    <col min="1" max="1" width="7.50390625" style="2" customWidth="1"/>
    <col min="2" max="5" width="8.75390625" style="2" customWidth="1"/>
    <col min="6" max="6" width="7.50390625" style="2" customWidth="1"/>
    <col min="7" max="9" width="8.75390625" style="2" customWidth="1"/>
    <col min="10" max="16384" width="9.00390625" style="2" customWidth="1"/>
  </cols>
  <sheetData>
    <row r="1" spans="1:10" ht="26.25" customHeight="1">
      <c r="A1" s="28" t="s">
        <v>152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26" t="s">
        <v>153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3.5">
      <c r="A3" s="33"/>
      <c r="B3" s="39"/>
      <c r="C3" s="39"/>
      <c r="D3" s="39"/>
      <c r="E3" s="39"/>
      <c r="F3" s="39"/>
      <c r="G3" s="39"/>
      <c r="H3" s="39"/>
      <c r="I3" s="39"/>
      <c r="J3" s="40" t="s">
        <v>0</v>
      </c>
    </row>
    <row r="4" spans="1:10" ht="13.5">
      <c r="A4" s="291" t="s">
        <v>1</v>
      </c>
      <c r="B4" s="289" t="s">
        <v>6</v>
      </c>
      <c r="C4" s="289" t="s">
        <v>154</v>
      </c>
      <c r="D4" s="73" t="s">
        <v>185</v>
      </c>
      <c r="E4" s="74" t="s">
        <v>4</v>
      </c>
      <c r="F4" s="293" t="s">
        <v>1</v>
      </c>
      <c r="G4" s="289" t="s">
        <v>6</v>
      </c>
      <c r="H4" s="289" t="s">
        <v>154</v>
      </c>
      <c r="I4" s="73" t="s">
        <v>185</v>
      </c>
      <c r="J4" s="76" t="s">
        <v>4</v>
      </c>
    </row>
    <row r="5" spans="1:10" ht="13.5">
      <c r="A5" s="292"/>
      <c r="B5" s="290"/>
      <c r="C5" s="290"/>
      <c r="D5" s="50" t="s">
        <v>2</v>
      </c>
      <c r="E5" s="75" t="s">
        <v>264</v>
      </c>
      <c r="F5" s="294"/>
      <c r="G5" s="290"/>
      <c r="H5" s="290"/>
      <c r="I5" s="50" t="s">
        <v>2</v>
      </c>
      <c r="J5" s="49" t="s">
        <v>264</v>
      </c>
    </row>
    <row r="6" spans="1:10" ht="5.25" customHeight="1">
      <c r="A6" s="71"/>
      <c r="B6" s="33"/>
      <c r="C6" s="33"/>
      <c r="D6" s="33"/>
      <c r="E6" s="33"/>
      <c r="F6" s="77"/>
      <c r="G6" s="33"/>
      <c r="H6" s="33"/>
      <c r="I6" s="33"/>
      <c r="J6" s="33"/>
    </row>
    <row r="7" spans="1:10" ht="13.5">
      <c r="A7" s="72" t="s">
        <v>155</v>
      </c>
      <c r="B7" s="29">
        <v>4167</v>
      </c>
      <c r="C7" s="29">
        <v>20710</v>
      </c>
      <c r="D7" s="66">
        <f>C7/B7</f>
        <v>4.970002399808015</v>
      </c>
      <c r="E7" s="29">
        <v>2356</v>
      </c>
      <c r="F7" s="78" t="s">
        <v>265</v>
      </c>
      <c r="G7" s="29">
        <v>46142</v>
      </c>
      <c r="H7" s="29">
        <v>138230</v>
      </c>
      <c r="I7" s="67">
        <f>H7/G7</f>
        <v>2.9957522430757226</v>
      </c>
      <c r="J7" s="29">
        <v>5712</v>
      </c>
    </row>
    <row r="8" spans="1:10" ht="13.5">
      <c r="A8" s="72" t="s">
        <v>266</v>
      </c>
      <c r="B8" s="29">
        <v>4317</v>
      </c>
      <c r="C8" s="29">
        <v>23200</v>
      </c>
      <c r="D8" s="66">
        <f aca="true" t="shared" si="0" ref="D8:D47">C8/B8</f>
        <v>5.374102385916146</v>
      </c>
      <c r="E8" s="29">
        <v>2639</v>
      </c>
      <c r="F8" s="78" t="s">
        <v>267</v>
      </c>
      <c r="G8" s="29">
        <v>46779</v>
      </c>
      <c r="H8" s="29">
        <v>138661</v>
      </c>
      <c r="I8" s="67">
        <f>H8/G8</f>
        <v>2.9641719575022982</v>
      </c>
      <c r="J8" s="29">
        <v>5730</v>
      </c>
    </row>
    <row r="9" spans="1:10" ht="13.5">
      <c r="A9" s="72" t="s">
        <v>192</v>
      </c>
      <c r="B9" s="29">
        <v>4628</v>
      </c>
      <c r="C9" s="29">
        <v>24500</v>
      </c>
      <c r="D9" s="66">
        <f t="shared" si="0"/>
        <v>5.293863439930855</v>
      </c>
      <c r="E9" s="29">
        <v>2737</v>
      </c>
      <c r="F9" s="78" t="s">
        <v>224</v>
      </c>
      <c r="G9" s="29">
        <v>47671</v>
      </c>
      <c r="H9" s="29">
        <v>140640</v>
      </c>
      <c r="I9" s="67">
        <f>H9/G9</f>
        <v>2.9502213085523694</v>
      </c>
      <c r="J9" s="29">
        <v>5812</v>
      </c>
    </row>
    <row r="10" spans="1:10" ht="13.5">
      <c r="A10" s="72" t="s">
        <v>193</v>
      </c>
      <c r="B10" s="29">
        <v>5118</v>
      </c>
      <c r="C10" s="29">
        <v>26880</v>
      </c>
      <c r="D10" s="66">
        <f t="shared" si="0"/>
        <v>5.2520515826494725</v>
      </c>
      <c r="E10" s="29">
        <v>3058</v>
      </c>
      <c r="F10" s="78" t="s">
        <v>225</v>
      </c>
      <c r="G10" s="29">
        <v>48683</v>
      </c>
      <c r="H10" s="29">
        <v>142455</v>
      </c>
      <c r="I10" s="67">
        <f>H10/G10</f>
        <v>2.9261754616601277</v>
      </c>
      <c r="J10" s="29">
        <v>5887</v>
      </c>
    </row>
    <row r="11" spans="1:10" ht="13.5">
      <c r="A11" s="72" t="s">
        <v>194</v>
      </c>
      <c r="B11" s="29">
        <v>6552</v>
      </c>
      <c r="C11" s="29">
        <v>34729</v>
      </c>
      <c r="D11" s="66">
        <f t="shared" si="0"/>
        <v>5.300518925518926</v>
      </c>
      <c r="E11" s="29">
        <v>3951</v>
      </c>
      <c r="F11" s="78" t="s">
        <v>226</v>
      </c>
      <c r="G11" s="29">
        <v>49162</v>
      </c>
      <c r="H11" s="29">
        <v>143450</v>
      </c>
      <c r="I11" s="67">
        <f>H11/G11</f>
        <v>2.9179040722509253</v>
      </c>
      <c r="J11" s="29">
        <v>5928</v>
      </c>
    </row>
    <row r="12" spans="1:10" ht="3.75" customHeight="1">
      <c r="A12" s="72"/>
      <c r="B12" s="29"/>
      <c r="C12" s="33"/>
      <c r="D12" s="66"/>
      <c r="E12" s="29"/>
      <c r="F12" s="78"/>
      <c r="G12" s="29"/>
      <c r="H12" s="29"/>
      <c r="I12" s="67"/>
      <c r="J12" s="29"/>
    </row>
    <row r="13" spans="1:10" ht="13.5">
      <c r="A13" s="72" t="s">
        <v>268</v>
      </c>
      <c r="B13" s="29">
        <v>7249</v>
      </c>
      <c r="C13" s="29">
        <v>42176</v>
      </c>
      <c r="D13" s="66">
        <f t="shared" si="0"/>
        <v>5.818181818181818</v>
      </c>
      <c r="E13" s="29">
        <v>4798</v>
      </c>
      <c r="F13" s="78" t="s">
        <v>269</v>
      </c>
      <c r="G13" s="29">
        <v>49583</v>
      </c>
      <c r="H13" s="29">
        <v>143332</v>
      </c>
      <c r="I13" s="67">
        <f>H13/G13</f>
        <v>2.890748845370389</v>
      </c>
      <c r="J13" s="29">
        <v>5923</v>
      </c>
    </row>
    <row r="14" spans="1:10" ht="13.5">
      <c r="A14" s="72" t="s">
        <v>196</v>
      </c>
      <c r="B14" s="29">
        <v>7935</v>
      </c>
      <c r="C14" s="29">
        <v>46858</v>
      </c>
      <c r="D14" s="66">
        <f t="shared" si="0"/>
        <v>5.905229993698803</v>
      </c>
      <c r="E14" s="29">
        <v>5331</v>
      </c>
      <c r="F14" s="78" t="s">
        <v>227</v>
      </c>
      <c r="G14" s="29">
        <v>49886</v>
      </c>
      <c r="H14" s="29">
        <v>143042</v>
      </c>
      <c r="I14" s="67">
        <f>H14/G14</f>
        <v>2.867377620975825</v>
      </c>
      <c r="J14" s="29">
        <v>5911</v>
      </c>
    </row>
    <row r="15" spans="1:10" ht="13.5">
      <c r="A15" s="72" t="s">
        <v>197</v>
      </c>
      <c r="B15" s="29">
        <v>8620</v>
      </c>
      <c r="C15" s="29">
        <v>56860</v>
      </c>
      <c r="D15" s="66">
        <f t="shared" si="0"/>
        <v>6.596287703016241</v>
      </c>
      <c r="E15" s="29">
        <v>6469</v>
      </c>
      <c r="F15" s="78" t="s">
        <v>228</v>
      </c>
      <c r="G15" s="29">
        <v>50392</v>
      </c>
      <c r="H15" s="29">
        <v>143539</v>
      </c>
      <c r="I15" s="67">
        <f>H15/G15</f>
        <v>2.8484481663756154</v>
      </c>
      <c r="J15" s="29">
        <v>5931</v>
      </c>
    </row>
    <row r="16" spans="1:10" ht="13.5">
      <c r="A16" s="72" t="s">
        <v>198</v>
      </c>
      <c r="B16" s="29">
        <v>8776</v>
      </c>
      <c r="C16" s="29">
        <v>60000</v>
      </c>
      <c r="D16" s="66">
        <f t="shared" si="0"/>
        <v>6.836827711941659</v>
      </c>
      <c r="E16" s="29">
        <v>6826</v>
      </c>
      <c r="F16" s="78" t="s">
        <v>229</v>
      </c>
      <c r="G16" s="29">
        <v>51277</v>
      </c>
      <c r="H16" s="29">
        <v>144520</v>
      </c>
      <c r="I16" s="67">
        <f>H16/G16</f>
        <v>2.8184176141349924</v>
      </c>
      <c r="J16" s="29">
        <v>5971</v>
      </c>
    </row>
    <row r="17" spans="1:10" ht="13.5">
      <c r="A17" s="72" t="s">
        <v>199</v>
      </c>
      <c r="B17" s="29">
        <v>7872</v>
      </c>
      <c r="C17" s="29">
        <v>34586</v>
      </c>
      <c r="D17" s="66">
        <f t="shared" si="0"/>
        <v>4.39354674796748</v>
      </c>
      <c r="E17" s="29">
        <v>3935</v>
      </c>
      <c r="F17" s="78" t="s">
        <v>230</v>
      </c>
      <c r="G17" s="29">
        <v>52136</v>
      </c>
      <c r="H17" s="29">
        <v>145941</v>
      </c>
      <c r="I17" s="67">
        <f>H17/G17</f>
        <v>2.7992366119380083</v>
      </c>
      <c r="J17" s="29">
        <v>6030</v>
      </c>
    </row>
    <row r="18" spans="1:10" ht="3.75" customHeight="1">
      <c r="A18" s="72"/>
      <c r="B18" s="29"/>
      <c r="C18" s="29"/>
      <c r="D18" s="66"/>
      <c r="E18" s="29"/>
      <c r="F18" s="78"/>
      <c r="G18" s="29"/>
      <c r="H18" s="29"/>
      <c r="I18" s="67"/>
      <c r="J18" s="29"/>
    </row>
    <row r="19" spans="1:10" ht="13.5">
      <c r="A19" s="72" t="s">
        <v>270</v>
      </c>
      <c r="B19" s="29">
        <v>9241</v>
      </c>
      <c r="C19" s="29">
        <v>39921</v>
      </c>
      <c r="D19" s="66">
        <f t="shared" si="0"/>
        <v>4.319987014392382</v>
      </c>
      <c r="E19" s="29">
        <v>4542</v>
      </c>
      <c r="F19" s="78" t="s">
        <v>271</v>
      </c>
      <c r="G19" s="29">
        <v>53274</v>
      </c>
      <c r="H19" s="29">
        <v>147772</v>
      </c>
      <c r="I19" s="67">
        <f>H19/G19</f>
        <v>2.773810864586853</v>
      </c>
      <c r="J19" s="29">
        <v>6106</v>
      </c>
    </row>
    <row r="20" spans="1:10" ht="13.5">
      <c r="A20" s="72" t="s">
        <v>200</v>
      </c>
      <c r="B20" s="29">
        <v>10373</v>
      </c>
      <c r="C20" s="29">
        <v>45300</v>
      </c>
      <c r="D20" s="66">
        <f t="shared" si="0"/>
        <v>4.367106912175841</v>
      </c>
      <c r="E20" s="29">
        <v>5154</v>
      </c>
      <c r="F20" s="78" t="s">
        <v>231</v>
      </c>
      <c r="G20" s="29">
        <v>54723</v>
      </c>
      <c r="H20" s="29">
        <v>150019</v>
      </c>
      <c r="I20" s="67">
        <f>H20/G20</f>
        <v>2.7414249949746905</v>
      </c>
      <c r="J20" s="29">
        <v>6198</v>
      </c>
    </row>
    <row r="21" spans="1:10" ht="13.5">
      <c r="A21" s="72" t="s">
        <v>201</v>
      </c>
      <c r="B21" s="29">
        <v>11975</v>
      </c>
      <c r="C21" s="29">
        <v>50512</v>
      </c>
      <c r="D21" s="66">
        <f t="shared" si="0"/>
        <v>4.21812108559499</v>
      </c>
      <c r="E21" s="29">
        <v>5747</v>
      </c>
      <c r="F21" s="78" t="s">
        <v>232</v>
      </c>
      <c r="G21" s="29">
        <v>55845</v>
      </c>
      <c r="H21" s="29">
        <v>151179</v>
      </c>
      <c r="I21" s="67">
        <f>H21/G21</f>
        <v>2.7071179156594143</v>
      </c>
      <c r="J21" s="29">
        <v>6246</v>
      </c>
    </row>
    <row r="22" spans="1:10" ht="13.5">
      <c r="A22" s="72" t="s">
        <v>202</v>
      </c>
      <c r="B22" s="29">
        <v>12107</v>
      </c>
      <c r="C22" s="29">
        <v>51426</v>
      </c>
      <c r="D22" s="66">
        <f t="shared" si="0"/>
        <v>4.247625340711985</v>
      </c>
      <c r="E22" s="29">
        <v>5851</v>
      </c>
      <c r="F22" s="78" t="s">
        <v>233</v>
      </c>
      <c r="G22" s="29">
        <v>56987</v>
      </c>
      <c r="H22" s="29">
        <v>152098</v>
      </c>
      <c r="I22" s="67">
        <f>H22/G22</f>
        <v>2.6689946829978766</v>
      </c>
      <c r="J22" s="29">
        <v>4285</v>
      </c>
    </row>
    <row r="23" spans="1:10" ht="13.5">
      <c r="A23" s="72" t="s">
        <v>203</v>
      </c>
      <c r="B23" s="29">
        <v>12319</v>
      </c>
      <c r="C23" s="29">
        <v>53015</v>
      </c>
      <c r="D23" s="66">
        <f t="shared" si="0"/>
        <v>4.3035148956895855</v>
      </c>
      <c r="E23" s="29">
        <v>6031</v>
      </c>
      <c r="F23" s="78" t="s">
        <v>156</v>
      </c>
      <c r="G23" s="29">
        <v>58399</v>
      </c>
      <c r="H23" s="29">
        <v>153041</v>
      </c>
      <c r="I23" s="67">
        <f>H23/G23</f>
        <v>2.6206099419510607</v>
      </c>
      <c r="J23" s="29">
        <v>6277</v>
      </c>
    </row>
    <row r="24" spans="1:10" ht="3.75" customHeight="1">
      <c r="A24" s="72"/>
      <c r="B24" s="29"/>
      <c r="C24" s="29"/>
      <c r="D24" s="66"/>
      <c r="E24" s="29"/>
      <c r="F24" s="78"/>
      <c r="G24" s="29"/>
      <c r="H24" s="29"/>
      <c r="I24" s="67"/>
      <c r="J24" s="29"/>
    </row>
    <row r="25" spans="1:10" ht="13.5">
      <c r="A25" s="72" t="s">
        <v>272</v>
      </c>
      <c r="B25" s="29">
        <v>12689</v>
      </c>
      <c r="C25" s="29">
        <v>54493</v>
      </c>
      <c r="D25" s="66">
        <f t="shared" si="0"/>
        <v>4.294507053353298</v>
      </c>
      <c r="E25" s="29">
        <v>6199</v>
      </c>
      <c r="F25" s="78" t="s">
        <v>273</v>
      </c>
      <c r="G25" s="29">
        <v>59193</v>
      </c>
      <c r="H25" s="29">
        <v>153273</v>
      </c>
      <c r="I25" s="67">
        <f>H25/G25</f>
        <v>2.589377122294866</v>
      </c>
      <c r="J25" s="29">
        <v>6287</v>
      </c>
    </row>
    <row r="26" spans="1:10" ht="13.5">
      <c r="A26" s="72" t="s">
        <v>204</v>
      </c>
      <c r="B26" s="29">
        <v>12969</v>
      </c>
      <c r="C26" s="29">
        <v>55883</v>
      </c>
      <c r="D26" s="66">
        <f t="shared" si="0"/>
        <v>4.308967537975172</v>
      </c>
      <c r="E26" s="29">
        <v>6358</v>
      </c>
      <c r="F26" s="78" t="s">
        <v>234</v>
      </c>
      <c r="G26" s="29">
        <v>60368</v>
      </c>
      <c r="H26" s="29">
        <v>154168</v>
      </c>
      <c r="I26" s="67">
        <f>H26/G26</f>
        <v>2.5538033395176254</v>
      </c>
      <c r="J26" s="29">
        <v>6324</v>
      </c>
    </row>
    <row r="27" spans="1:10" ht="13.5">
      <c r="A27" s="72" t="s">
        <v>205</v>
      </c>
      <c r="B27" s="29">
        <v>13561</v>
      </c>
      <c r="C27" s="29">
        <v>57861</v>
      </c>
      <c r="D27" s="66">
        <f t="shared" si="0"/>
        <v>4.266720743308015</v>
      </c>
      <c r="E27" s="29">
        <v>6583</v>
      </c>
      <c r="F27" s="78" t="s">
        <v>235</v>
      </c>
      <c r="G27" s="29">
        <v>61391</v>
      </c>
      <c r="H27" s="29">
        <v>154884</v>
      </c>
      <c r="I27" s="67">
        <f>H27/G27</f>
        <v>2.5229105243439593</v>
      </c>
      <c r="J27" s="29">
        <v>6353</v>
      </c>
    </row>
    <row r="28" spans="1:10" ht="13.5">
      <c r="A28" s="72" t="s">
        <v>206</v>
      </c>
      <c r="B28" s="29">
        <v>14119</v>
      </c>
      <c r="C28" s="29">
        <v>59548</v>
      </c>
      <c r="D28" s="66">
        <f t="shared" si="0"/>
        <v>4.217579148664919</v>
      </c>
      <c r="E28" s="29">
        <v>6775</v>
      </c>
      <c r="F28" s="78" t="s">
        <v>236</v>
      </c>
      <c r="G28" s="29">
        <v>61982</v>
      </c>
      <c r="H28" s="29">
        <v>154922</v>
      </c>
      <c r="I28" s="67">
        <f>H28/G28</f>
        <v>2.4994675873640735</v>
      </c>
      <c r="J28" s="29">
        <v>6354</v>
      </c>
    </row>
    <row r="29" spans="1:10" ht="13.5">
      <c r="A29" s="72" t="s">
        <v>207</v>
      </c>
      <c r="B29" s="29">
        <v>15019</v>
      </c>
      <c r="C29" s="29">
        <v>61995</v>
      </c>
      <c r="D29" s="66">
        <f t="shared" si="0"/>
        <v>4.127771489446701</v>
      </c>
      <c r="E29" s="29">
        <v>7053</v>
      </c>
      <c r="F29" s="78" t="s">
        <v>237</v>
      </c>
      <c r="G29" s="29">
        <v>62988</v>
      </c>
      <c r="H29" s="29">
        <v>155832</v>
      </c>
      <c r="I29" s="67">
        <f>H29/G29</f>
        <v>2.473995046675557</v>
      </c>
      <c r="J29" s="29">
        <v>6392</v>
      </c>
    </row>
    <row r="30" spans="1:10" ht="3.75" customHeight="1">
      <c r="A30" s="72"/>
      <c r="B30" s="29"/>
      <c r="C30" s="29"/>
      <c r="D30" s="66"/>
      <c r="E30" s="33"/>
      <c r="F30" s="78"/>
      <c r="G30" s="29"/>
      <c r="H30" s="29"/>
      <c r="I30" s="67"/>
      <c r="J30" s="29"/>
    </row>
    <row r="31" spans="1:10" ht="13.5">
      <c r="A31" s="72" t="s">
        <v>274</v>
      </c>
      <c r="B31" s="29">
        <v>15601</v>
      </c>
      <c r="C31" s="29">
        <v>63373</v>
      </c>
      <c r="D31" s="66">
        <f t="shared" si="0"/>
        <v>4.062111403115185</v>
      </c>
      <c r="E31" s="29">
        <v>7210</v>
      </c>
      <c r="F31" s="78" t="s">
        <v>275</v>
      </c>
      <c r="G31" s="29">
        <v>64455</v>
      </c>
      <c r="H31" s="29">
        <v>157228</v>
      </c>
      <c r="I31" s="67">
        <f>H31/G31</f>
        <v>2.439345279652471</v>
      </c>
      <c r="J31" s="29">
        <v>6449</v>
      </c>
    </row>
    <row r="32" spans="1:10" ht="13.5">
      <c r="A32" s="72" t="s">
        <v>208</v>
      </c>
      <c r="B32" s="29">
        <v>16138</v>
      </c>
      <c r="C32" s="29">
        <v>64753</v>
      </c>
      <c r="D32" s="66">
        <f t="shared" si="0"/>
        <v>4.012455074978312</v>
      </c>
      <c r="E32" s="29">
        <v>7367</v>
      </c>
      <c r="F32" s="78" t="s">
        <v>238</v>
      </c>
      <c r="G32" s="29">
        <v>65623</v>
      </c>
      <c r="H32" s="29">
        <v>157903</v>
      </c>
      <c r="I32" s="67">
        <f>H32/G32</f>
        <v>2.406214284625817</v>
      </c>
      <c r="J32" s="29">
        <v>6477</v>
      </c>
    </row>
    <row r="33" spans="1:10" ht="13.5">
      <c r="A33" s="72" t="s">
        <v>209</v>
      </c>
      <c r="B33" s="29">
        <v>16491</v>
      </c>
      <c r="C33" s="29">
        <v>67885</v>
      </c>
      <c r="D33" s="66">
        <f t="shared" si="0"/>
        <v>4.116487781213996</v>
      </c>
      <c r="E33" s="29">
        <v>7723</v>
      </c>
      <c r="F33" s="78" t="s">
        <v>239</v>
      </c>
      <c r="G33" s="29">
        <v>66633</v>
      </c>
      <c r="H33" s="29">
        <v>158858</v>
      </c>
      <c r="I33" s="67">
        <f>H33/G33</f>
        <v>2.384073957348461</v>
      </c>
      <c r="J33" s="29">
        <v>6516</v>
      </c>
    </row>
    <row r="34" spans="1:10" ht="13.5">
      <c r="A34" s="72" t="s">
        <v>210</v>
      </c>
      <c r="B34" s="29">
        <v>16827</v>
      </c>
      <c r="C34" s="29">
        <v>68731</v>
      </c>
      <c r="D34" s="66">
        <f t="shared" si="0"/>
        <v>4.084566470553278</v>
      </c>
      <c r="E34" s="29">
        <v>7819</v>
      </c>
      <c r="F34" s="78" t="s">
        <v>240</v>
      </c>
      <c r="G34" s="29">
        <v>67905</v>
      </c>
      <c r="H34" s="29">
        <v>160181</v>
      </c>
      <c r="I34" s="67">
        <f>H34/G34</f>
        <v>2.3588984610853396</v>
      </c>
      <c r="J34" s="29">
        <v>6570</v>
      </c>
    </row>
    <row r="35" spans="1:10" ht="13.5">
      <c r="A35" s="72" t="s">
        <v>211</v>
      </c>
      <c r="B35" s="29">
        <v>17185</v>
      </c>
      <c r="C35" s="29">
        <v>69775</v>
      </c>
      <c r="D35" s="66">
        <f t="shared" si="0"/>
        <v>4.06022694210067</v>
      </c>
      <c r="E35" s="29">
        <v>7938</v>
      </c>
      <c r="F35" s="78" t="s">
        <v>191</v>
      </c>
      <c r="G35" s="29">
        <v>69809</v>
      </c>
      <c r="H35" s="29">
        <v>162549</v>
      </c>
      <c r="I35" s="67">
        <f>H35/G35</f>
        <v>2.3284820008881377</v>
      </c>
      <c r="J35" s="29">
        <v>6667</v>
      </c>
    </row>
    <row r="36" spans="1:10" ht="3.75" customHeight="1">
      <c r="A36" s="72"/>
      <c r="B36" s="29"/>
      <c r="C36" s="29"/>
      <c r="D36" s="66"/>
      <c r="E36" s="29"/>
      <c r="F36" s="78"/>
      <c r="G36" s="29"/>
      <c r="H36" s="29"/>
      <c r="I36" s="67"/>
      <c r="J36" s="29"/>
    </row>
    <row r="37" spans="1:10" ht="13.5">
      <c r="A37" s="72" t="s">
        <v>276</v>
      </c>
      <c r="B37" s="29">
        <v>17997</v>
      </c>
      <c r="C37" s="29">
        <v>70085</v>
      </c>
      <c r="D37" s="66">
        <f t="shared" si="0"/>
        <v>3.8942601544701896</v>
      </c>
      <c r="E37" s="29">
        <v>7973</v>
      </c>
      <c r="F37" s="78" t="s">
        <v>277</v>
      </c>
      <c r="G37" s="29">
        <v>70960</v>
      </c>
      <c r="H37" s="29">
        <v>163421</v>
      </c>
      <c r="I37" s="67">
        <f>H37/G37</f>
        <v>2.303001691093574</v>
      </c>
      <c r="J37" s="29">
        <v>6703</v>
      </c>
    </row>
    <row r="38" spans="1:10" ht="13.5">
      <c r="A38" s="72" t="s">
        <v>212</v>
      </c>
      <c r="B38" s="29">
        <v>19872</v>
      </c>
      <c r="C38" s="29">
        <v>72735</v>
      </c>
      <c r="D38" s="66">
        <f t="shared" si="0"/>
        <v>3.660175120772947</v>
      </c>
      <c r="E38" s="29">
        <v>8275</v>
      </c>
      <c r="F38" s="78" t="s">
        <v>193</v>
      </c>
      <c r="G38" s="29">
        <v>72342</v>
      </c>
      <c r="H38" s="29">
        <v>164639</v>
      </c>
      <c r="I38" s="67">
        <f>H38/G38</f>
        <v>2.2758425257803214</v>
      </c>
      <c r="J38" s="29">
        <v>6753</v>
      </c>
    </row>
    <row r="39" spans="1:10" ht="13.5">
      <c r="A39" s="72" t="s">
        <v>213</v>
      </c>
      <c r="B39" s="29">
        <v>19185</v>
      </c>
      <c r="C39" s="29">
        <v>72796</v>
      </c>
      <c r="D39" s="66">
        <f t="shared" si="0"/>
        <v>3.7944227260880896</v>
      </c>
      <c r="E39" s="29">
        <v>8282</v>
      </c>
      <c r="F39" s="78" t="s">
        <v>194</v>
      </c>
      <c r="G39" s="29">
        <v>73417</v>
      </c>
      <c r="H39" s="29">
        <v>165410</v>
      </c>
      <c r="I39" s="67">
        <f>H39/G39</f>
        <v>2.253020417614449</v>
      </c>
      <c r="J39" s="29">
        <v>6785</v>
      </c>
    </row>
    <row r="40" spans="1:10" ht="13.5">
      <c r="A40" s="72" t="s">
        <v>214</v>
      </c>
      <c r="B40" s="29">
        <v>26563</v>
      </c>
      <c r="C40" s="29">
        <v>97479</v>
      </c>
      <c r="D40" s="66">
        <f t="shared" si="0"/>
        <v>3.6697285698151565</v>
      </c>
      <c r="E40" s="29">
        <v>3989</v>
      </c>
      <c r="F40" s="78" t="s">
        <v>195</v>
      </c>
      <c r="G40" s="29">
        <v>74657</v>
      </c>
      <c r="H40" s="29">
        <v>166829</v>
      </c>
      <c r="I40" s="67">
        <f>H40/G40</f>
        <v>2.234606265989793</v>
      </c>
      <c r="J40" s="29">
        <v>6843</v>
      </c>
    </row>
    <row r="41" spans="1:10" ht="13.5">
      <c r="A41" s="72" t="s">
        <v>215</v>
      </c>
      <c r="B41" s="29">
        <v>27924</v>
      </c>
      <c r="C41" s="29">
        <v>99012</v>
      </c>
      <c r="D41" s="66">
        <v>3.6</v>
      </c>
      <c r="E41" s="29">
        <v>4051</v>
      </c>
      <c r="F41" s="78" t="s">
        <v>196</v>
      </c>
      <c r="G41" s="29">
        <v>76050</v>
      </c>
      <c r="H41" s="29">
        <v>168828</v>
      </c>
      <c r="I41" s="67">
        <f>H41/G41</f>
        <v>2.2199605522682444</v>
      </c>
      <c r="J41" s="29">
        <v>6925</v>
      </c>
    </row>
    <row r="42" spans="1:10" ht="3.75" customHeight="1">
      <c r="A42" s="72"/>
      <c r="B42" s="29"/>
      <c r="C42" s="29"/>
      <c r="D42" s="66"/>
      <c r="E42" s="29"/>
      <c r="F42" s="78"/>
      <c r="G42" s="29"/>
      <c r="H42" s="29"/>
      <c r="I42" s="67"/>
      <c r="J42" s="29"/>
    </row>
    <row r="43" spans="1:10" ht="13.5">
      <c r="A43" s="72" t="s">
        <v>278</v>
      </c>
      <c r="B43" s="29">
        <v>30911</v>
      </c>
      <c r="C43" s="29">
        <v>101687</v>
      </c>
      <c r="D43" s="66">
        <f t="shared" si="0"/>
        <v>3.2896703438905246</v>
      </c>
      <c r="E43" s="29">
        <v>4161</v>
      </c>
      <c r="F43" s="78" t="s">
        <v>279</v>
      </c>
      <c r="G43" s="29">
        <v>77170</v>
      </c>
      <c r="H43" s="29">
        <v>169768</v>
      </c>
      <c r="I43" s="67">
        <f>H43/G43</f>
        <v>2.1999222495788517</v>
      </c>
      <c r="J43" s="29">
        <v>6963</v>
      </c>
    </row>
    <row r="44" spans="1:10" ht="13.5">
      <c r="A44" s="72" t="s">
        <v>216</v>
      </c>
      <c r="B44" s="29">
        <v>32984</v>
      </c>
      <c r="C44" s="29">
        <v>105352</v>
      </c>
      <c r="D44" s="66">
        <f t="shared" si="0"/>
        <v>3.1940334707737086</v>
      </c>
      <c r="E44" s="29">
        <v>4311</v>
      </c>
      <c r="F44" s="78" t="s">
        <v>280</v>
      </c>
      <c r="G44" s="29">
        <v>78581</v>
      </c>
      <c r="H44" s="29">
        <v>171325</v>
      </c>
      <c r="I44" s="67">
        <f>H44/G44</f>
        <v>2.1802344078085034</v>
      </c>
      <c r="J44" s="29">
        <v>7027</v>
      </c>
    </row>
    <row r="45" spans="1:10" ht="13.5">
      <c r="A45" s="72" t="s">
        <v>217</v>
      </c>
      <c r="B45" s="29">
        <v>36022</v>
      </c>
      <c r="C45" s="29">
        <v>112350</v>
      </c>
      <c r="D45" s="66">
        <f t="shared" si="0"/>
        <v>3.1189273221919938</v>
      </c>
      <c r="E45" s="29">
        <v>4620</v>
      </c>
      <c r="F45" s="78" t="s">
        <v>199</v>
      </c>
      <c r="G45" s="29">
        <v>79876</v>
      </c>
      <c r="H45" s="29">
        <v>172547</v>
      </c>
      <c r="I45" s="67">
        <f>H45/G45</f>
        <v>2.1601857879713555</v>
      </c>
      <c r="J45" s="29">
        <f>H45/24.38</f>
        <v>7077.399507793273</v>
      </c>
    </row>
    <row r="46" spans="1:10" ht="13.5">
      <c r="A46" s="72" t="s">
        <v>218</v>
      </c>
      <c r="B46" s="29">
        <v>37783</v>
      </c>
      <c r="C46" s="29">
        <v>115353</v>
      </c>
      <c r="D46" s="66">
        <f t="shared" si="0"/>
        <v>3.0530397268612868</v>
      </c>
      <c r="E46" s="29">
        <v>4743</v>
      </c>
      <c r="F46" s="78" t="s">
        <v>254</v>
      </c>
      <c r="G46" s="42">
        <v>80942</v>
      </c>
      <c r="H46" s="42">
        <v>173692</v>
      </c>
      <c r="I46" s="223">
        <f>H46/G46</f>
        <v>2.1458822366632897</v>
      </c>
      <c r="J46" s="42">
        <f>H46/24.38</f>
        <v>7124.364232977851</v>
      </c>
    </row>
    <row r="47" spans="1:10" ht="13.5">
      <c r="A47" s="72" t="s">
        <v>219</v>
      </c>
      <c r="B47" s="29">
        <v>36252</v>
      </c>
      <c r="C47" s="29">
        <v>115240</v>
      </c>
      <c r="D47" s="66">
        <f t="shared" si="0"/>
        <v>3.1788590974291075</v>
      </c>
      <c r="E47" s="29">
        <v>4738</v>
      </c>
      <c r="F47" s="225" t="s">
        <v>200</v>
      </c>
      <c r="G47" s="1">
        <v>81794</v>
      </c>
      <c r="H47" s="1">
        <v>174458</v>
      </c>
      <c r="I47" s="226">
        <f>H47/G47</f>
        <v>2.1328948333618603</v>
      </c>
      <c r="J47" s="5">
        <f>H47/24.38</f>
        <v>7155.783429040197</v>
      </c>
    </row>
    <row r="48" spans="1:10" ht="5.25" customHeight="1">
      <c r="A48" s="71"/>
      <c r="B48" s="36"/>
      <c r="C48" s="33"/>
      <c r="D48" s="68"/>
      <c r="E48" s="33"/>
      <c r="F48" s="79"/>
      <c r="G48" s="33"/>
      <c r="H48" s="33"/>
      <c r="I48" s="33"/>
      <c r="J48" s="33"/>
    </row>
    <row r="49" spans="1:10" ht="13.5" customHeight="1">
      <c r="A49" s="72" t="s">
        <v>281</v>
      </c>
      <c r="B49" s="29">
        <v>37665</v>
      </c>
      <c r="C49" s="29">
        <v>117444</v>
      </c>
      <c r="D49" s="66">
        <f>C49/B49</f>
        <v>3.118120270808443</v>
      </c>
      <c r="E49" s="29">
        <v>4829</v>
      </c>
      <c r="F49" s="79"/>
      <c r="G49" s="33"/>
      <c r="H49" s="33"/>
      <c r="I49" s="33"/>
      <c r="J49" s="33"/>
    </row>
    <row r="50" spans="1:10" ht="13.5" customHeight="1">
      <c r="A50" s="72" t="s">
        <v>220</v>
      </c>
      <c r="B50" s="29">
        <v>42135</v>
      </c>
      <c r="C50" s="29">
        <v>129395</v>
      </c>
      <c r="D50" s="66">
        <f>C50/B50</f>
        <v>3.0709623828171355</v>
      </c>
      <c r="E50" s="29">
        <v>5321</v>
      </c>
      <c r="F50" s="79"/>
      <c r="G50" s="33"/>
      <c r="H50" s="33"/>
      <c r="I50" s="33"/>
      <c r="J50" s="33"/>
    </row>
    <row r="51" spans="1:10" ht="13.5" customHeight="1">
      <c r="A51" s="72" t="s">
        <v>221</v>
      </c>
      <c r="B51" s="29">
        <v>43434</v>
      </c>
      <c r="C51" s="29">
        <v>132501</v>
      </c>
      <c r="D51" s="66">
        <f>C51/B51</f>
        <v>3.050628539853571</v>
      </c>
      <c r="E51" s="29">
        <v>5448</v>
      </c>
      <c r="F51" s="79"/>
      <c r="G51" s="33"/>
      <c r="H51" s="33"/>
      <c r="I51" s="33"/>
      <c r="J51" s="33"/>
    </row>
    <row r="52" spans="1:10" ht="13.5" customHeight="1">
      <c r="A52" s="72" t="s">
        <v>222</v>
      </c>
      <c r="B52" s="29">
        <v>45080</v>
      </c>
      <c r="C52" s="29">
        <v>135049</v>
      </c>
      <c r="D52" s="66">
        <f>C52/B52</f>
        <v>2.9957630878438333</v>
      </c>
      <c r="E52" s="29">
        <v>5581</v>
      </c>
      <c r="F52" s="79"/>
      <c r="G52" s="33"/>
      <c r="H52" s="33"/>
      <c r="I52" s="33"/>
      <c r="J52" s="33"/>
    </row>
    <row r="53" spans="1:10" ht="13.5" customHeight="1">
      <c r="A53" s="72" t="s">
        <v>223</v>
      </c>
      <c r="B53" s="29">
        <v>45520</v>
      </c>
      <c r="C53" s="29">
        <v>136513</v>
      </c>
      <c r="D53" s="66">
        <f>C53/B53</f>
        <v>2.9989674868189806</v>
      </c>
      <c r="E53" s="29">
        <v>5641</v>
      </c>
      <c r="F53" s="79"/>
      <c r="G53" s="33"/>
      <c r="H53" s="33"/>
      <c r="I53" s="33"/>
      <c r="J53" s="33"/>
    </row>
    <row r="54" spans="1:10" ht="5.25" customHeight="1">
      <c r="A54" s="44"/>
      <c r="B54" s="36"/>
      <c r="C54" s="33"/>
      <c r="D54" s="33"/>
      <c r="E54" s="33"/>
      <c r="F54" s="80"/>
      <c r="G54" s="33"/>
      <c r="H54" s="33"/>
      <c r="I54" s="33"/>
      <c r="J54" s="33"/>
    </row>
    <row r="55" spans="1:10" s="190" customFormat="1" ht="13.5">
      <c r="A55" s="188" t="s">
        <v>260</v>
      </c>
      <c r="B55" s="189"/>
      <c r="C55" s="189"/>
      <c r="D55" s="189"/>
      <c r="E55" s="189"/>
      <c r="F55" s="189"/>
      <c r="G55" s="189"/>
      <c r="H55" s="189"/>
      <c r="I55" s="189"/>
      <c r="J55" s="189"/>
    </row>
    <row r="56" spans="1:10" s="190" customFormat="1" ht="13.5">
      <c r="A56" s="192" t="s">
        <v>325</v>
      </c>
      <c r="B56" s="191"/>
      <c r="C56" s="191"/>
      <c r="D56" s="191"/>
      <c r="E56" s="191"/>
      <c r="F56" s="191"/>
      <c r="G56" s="191"/>
      <c r="H56" s="191"/>
      <c r="I56" s="191"/>
      <c r="J56" s="191"/>
    </row>
    <row r="57" spans="1:10" s="190" customFormat="1" ht="13.5">
      <c r="A57" s="192" t="s">
        <v>326</v>
      </c>
      <c r="B57" s="191"/>
      <c r="C57" s="191"/>
      <c r="D57" s="191"/>
      <c r="E57" s="191"/>
      <c r="F57" s="191"/>
      <c r="G57" s="191"/>
      <c r="H57" s="191"/>
      <c r="I57" s="191"/>
      <c r="J57" s="191"/>
    </row>
    <row r="58" spans="1:10" s="190" customFormat="1" ht="13.5">
      <c r="A58" s="192" t="s">
        <v>324</v>
      </c>
      <c r="B58" s="191"/>
      <c r="C58" s="191"/>
      <c r="D58" s="191"/>
      <c r="E58" s="191"/>
      <c r="F58" s="191"/>
      <c r="G58" s="191"/>
      <c r="H58" s="191"/>
      <c r="I58" s="191"/>
      <c r="J58" s="191"/>
    </row>
    <row r="59" ht="13.5">
      <c r="A59" s="192" t="s">
        <v>342</v>
      </c>
    </row>
  </sheetData>
  <mergeCells count="6">
    <mergeCell ref="G4:G5"/>
    <mergeCell ref="H4:H5"/>
    <mergeCell ref="A4:A5"/>
    <mergeCell ref="B4:B5"/>
    <mergeCell ref="C4:C5"/>
    <mergeCell ref="F4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30　　　　 人　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9">
      <selection activeCell="H16" sqref="H16"/>
    </sheetView>
  </sheetViews>
  <sheetFormatPr defaultColWidth="9.00390625" defaultRowHeight="13.5"/>
  <cols>
    <col min="1" max="1" width="15.00390625" style="2" customWidth="1"/>
    <col min="2" max="5" width="16.625" style="2" customWidth="1"/>
    <col min="6" max="6" width="9.00390625" style="2" hidden="1" customWidth="1"/>
    <col min="7" max="16384" width="9.00390625" style="2" customWidth="1"/>
  </cols>
  <sheetData>
    <row r="1" spans="1:6" ht="26.25" customHeight="1">
      <c r="A1" s="6"/>
      <c r="B1" s="6"/>
      <c r="C1" s="6"/>
      <c r="D1" s="6"/>
      <c r="F1" s="216" t="s">
        <v>338</v>
      </c>
    </row>
    <row r="2" spans="1:4" ht="22.5" customHeight="1">
      <c r="A2" s="26" t="s">
        <v>341</v>
      </c>
      <c r="B2" s="26"/>
      <c r="C2" s="26"/>
      <c r="D2" s="26"/>
    </row>
    <row r="3" spans="1:5" ht="13.5" customHeight="1">
      <c r="A3" s="222"/>
      <c r="B3" s="39"/>
      <c r="C3" s="39"/>
      <c r="D3" s="215"/>
      <c r="E3" s="215" t="s">
        <v>336</v>
      </c>
    </row>
    <row r="4" spans="1:6" ht="22.5" customHeight="1">
      <c r="A4" s="82"/>
      <c r="B4" s="55" t="s">
        <v>55</v>
      </c>
      <c r="C4" s="55" t="s">
        <v>9</v>
      </c>
      <c r="D4" s="105" t="s">
        <v>10</v>
      </c>
      <c r="E4" s="221" t="s">
        <v>340</v>
      </c>
      <c r="F4" s="116" t="s">
        <v>339</v>
      </c>
    </row>
    <row r="5" spans="1:4" ht="5.25" customHeight="1">
      <c r="A5" s="83"/>
      <c r="B5" s="81"/>
      <c r="C5" s="81"/>
      <c r="D5" s="81"/>
    </row>
    <row r="6" spans="1:6" s="210" customFormat="1" ht="18.75" customHeight="1">
      <c r="A6" s="64" t="s">
        <v>151</v>
      </c>
      <c r="B6" s="199">
        <f>SUM(C6:D6)</f>
        <v>4001781</v>
      </c>
      <c r="C6" s="199">
        <f>SUM(C8:C35)</f>
        <v>1997396</v>
      </c>
      <c r="D6" s="199">
        <f>SUM(D8:D35)</f>
        <v>2004385</v>
      </c>
      <c r="E6" s="217">
        <f>B6/F6</f>
        <v>5104.768282882401</v>
      </c>
      <c r="F6" s="219">
        <f>SUM(F8:F35)</f>
        <v>783.93</v>
      </c>
    </row>
    <row r="7" spans="1:6" ht="9" customHeight="1">
      <c r="A7" s="43"/>
      <c r="B7" s="200"/>
      <c r="C7" s="200"/>
      <c r="D7" s="200"/>
      <c r="E7" s="218"/>
      <c r="F7" s="220"/>
    </row>
    <row r="8" spans="1:6" ht="21" customHeight="1">
      <c r="A8" s="43" t="s">
        <v>126</v>
      </c>
      <c r="B8" s="200">
        <f>SUM(C8:D8)</f>
        <v>551901</v>
      </c>
      <c r="C8" s="200">
        <v>278177</v>
      </c>
      <c r="D8" s="200">
        <v>273724</v>
      </c>
      <c r="E8" s="218">
        <f>B8/F8</f>
        <v>2962.2725564918683</v>
      </c>
      <c r="F8" s="220">
        <v>186.31</v>
      </c>
    </row>
    <row r="9" spans="1:6" ht="3" customHeight="1">
      <c r="A9" s="43"/>
      <c r="B9" s="200"/>
      <c r="C9" s="200"/>
      <c r="D9" s="200"/>
      <c r="E9" s="218"/>
      <c r="F9" s="220"/>
    </row>
    <row r="10" spans="1:6" s="210" customFormat="1" ht="21" customHeight="1">
      <c r="A10" s="64" t="s">
        <v>128</v>
      </c>
      <c r="B10" s="199">
        <f aca="true" t="shared" si="0" ref="B10:B35">SUM(C10:D10)</f>
        <v>174458</v>
      </c>
      <c r="C10" s="199">
        <v>87414</v>
      </c>
      <c r="D10" s="199">
        <v>87044</v>
      </c>
      <c r="E10" s="217">
        <f>B10/F10</f>
        <v>7155.783429040197</v>
      </c>
      <c r="F10" s="219">
        <v>24.38</v>
      </c>
    </row>
    <row r="11" spans="1:6" ht="3" customHeight="1">
      <c r="A11" s="84"/>
      <c r="B11" s="201"/>
      <c r="C11" s="201"/>
      <c r="D11" s="201"/>
      <c r="E11" s="218"/>
      <c r="F11" s="220"/>
    </row>
    <row r="12" spans="1:6" ht="21" customHeight="1">
      <c r="A12" s="43" t="s">
        <v>130</v>
      </c>
      <c r="B12" s="200">
        <f t="shared" si="0"/>
        <v>134862</v>
      </c>
      <c r="C12" s="200">
        <v>65093</v>
      </c>
      <c r="D12" s="200">
        <v>69769</v>
      </c>
      <c r="E12" s="218">
        <f>B12/F12</f>
        <v>12568.685927306617</v>
      </c>
      <c r="F12" s="220">
        <v>10.73</v>
      </c>
    </row>
    <row r="13" spans="1:6" ht="21" customHeight="1">
      <c r="A13" s="43" t="s">
        <v>132</v>
      </c>
      <c r="B13" s="200">
        <f t="shared" si="0"/>
        <v>176986</v>
      </c>
      <c r="C13" s="200">
        <v>87462</v>
      </c>
      <c r="D13" s="200">
        <v>89524</v>
      </c>
      <c r="E13" s="218">
        <f aca="true" t="shared" si="1" ref="E13:E34">B13/F13</f>
        <v>10726.424242424242</v>
      </c>
      <c r="F13" s="220">
        <v>16.5</v>
      </c>
    </row>
    <row r="14" spans="1:6" ht="21" customHeight="1">
      <c r="A14" s="43" t="s">
        <v>134</v>
      </c>
      <c r="B14" s="200">
        <f t="shared" si="0"/>
        <v>138162</v>
      </c>
      <c r="C14" s="200">
        <v>69748</v>
      </c>
      <c r="D14" s="200">
        <v>68414</v>
      </c>
      <c r="E14" s="218">
        <f t="shared" si="1"/>
        <v>1338.0011621150493</v>
      </c>
      <c r="F14" s="220">
        <v>103.26</v>
      </c>
    </row>
    <row r="15" spans="1:6" ht="21" customHeight="1">
      <c r="A15" s="43" t="s">
        <v>136</v>
      </c>
      <c r="B15" s="200">
        <f t="shared" si="0"/>
        <v>244834</v>
      </c>
      <c r="C15" s="200">
        <v>124892</v>
      </c>
      <c r="D15" s="200">
        <v>119942</v>
      </c>
      <c r="E15" s="218">
        <f t="shared" si="1"/>
        <v>8344.717109747784</v>
      </c>
      <c r="F15" s="220">
        <v>29.34</v>
      </c>
    </row>
    <row r="16" spans="1:6" ht="21" customHeight="1">
      <c r="A16" s="43" t="s">
        <v>138</v>
      </c>
      <c r="B16" s="200">
        <f t="shared" si="0"/>
        <v>111025</v>
      </c>
      <c r="C16" s="200">
        <v>56013</v>
      </c>
      <c r="D16" s="200">
        <v>55012</v>
      </c>
      <c r="E16" s="218">
        <f t="shared" si="1"/>
        <v>6406.520484708599</v>
      </c>
      <c r="F16" s="220">
        <v>17.33</v>
      </c>
    </row>
    <row r="17" spans="1:6" ht="21" customHeight="1">
      <c r="A17" s="43" t="s">
        <v>140</v>
      </c>
      <c r="B17" s="200">
        <f t="shared" si="0"/>
        <v>216739</v>
      </c>
      <c r="C17" s="200">
        <v>107565</v>
      </c>
      <c r="D17" s="200">
        <v>109174</v>
      </c>
      <c r="E17" s="218">
        <f t="shared" si="1"/>
        <v>10066.83697166744</v>
      </c>
      <c r="F17" s="220">
        <v>21.53</v>
      </c>
    </row>
    <row r="18" spans="1:6" ht="21" customHeight="1">
      <c r="A18" s="43" t="s">
        <v>142</v>
      </c>
      <c r="B18" s="200">
        <f t="shared" si="0"/>
        <v>417358</v>
      </c>
      <c r="C18" s="200">
        <v>206328</v>
      </c>
      <c r="D18" s="200">
        <v>211030</v>
      </c>
      <c r="E18" s="218">
        <f t="shared" si="1"/>
        <v>5826.581041463074</v>
      </c>
      <c r="F18" s="220">
        <v>71.63</v>
      </c>
    </row>
    <row r="19" spans="1:6" ht="21" customHeight="1">
      <c r="A19" s="43" t="s">
        <v>144</v>
      </c>
      <c r="B19" s="200">
        <f t="shared" si="0"/>
        <v>111465</v>
      </c>
      <c r="C19" s="200">
        <v>55481</v>
      </c>
      <c r="D19" s="200">
        <v>55984</v>
      </c>
      <c r="E19" s="218">
        <f t="shared" si="1"/>
        <v>9838.040600176522</v>
      </c>
      <c r="F19" s="220">
        <v>11.33</v>
      </c>
    </row>
    <row r="20" spans="1:6" ht="21" customHeight="1">
      <c r="A20" s="43" t="s">
        <v>146</v>
      </c>
      <c r="B20" s="200">
        <f t="shared" si="0"/>
        <v>179717</v>
      </c>
      <c r="C20" s="200">
        <v>89353</v>
      </c>
      <c r="D20" s="200">
        <v>90364</v>
      </c>
      <c r="E20" s="218">
        <f t="shared" si="1"/>
        <v>8783.822091886608</v>
      </c>
      <c r="F20" s="220">
        <v>20.46</v>
      </c>
    </row>
    <row r="21" spans="1:6" ht="21" customHeight="1">
      <c r="A21" s="43" t="s">
        <v>148</v>
      </c>
      <c r="B21" s="200">
        <f t="shared" si="0"/>
        <v>174169</v>
      </c>
      <c r="C21" s="200">
        <v>88291</v>
      </c>
      <c r="D21" s="200">
        <v>85878</v>
      </c>
      <c r="E21" s="218">
        <f t="shared" si="1"/>
        <v>6326.516527424627</v>
      </c>
      <c r="F21" s="220">
        <v>27.53</v>
      </c>
    </row>
    <row r="22" spans="1:6" ht="21" customHeight="1">
      <c r="A22" s="43" t="s">
        <v>150</v>
      </c>
      <c r="B22" s="200">
        <f t="shared" si="0"/>
        <v>150026</v>
      </c>
      <c r="C22" s="200">
        <v>74321</v>
      </c>
      <c r="D22" s="200">
        <v>75705</v>
      </c>
      <c r="E22" s="218">
        <f t="shared" si="1"/>
        <v>8737.682003494467</v>
      </c>
      <c r="F22" s="220">
        <v>17.17</v>
      </c>
    </row>
    <row r="23" spans="1:6" ht="21" customHeight="1">
      <c r="A23" s="43" t="s">
        <v>125</v>
      </c>
      <c r="B23" s="200">
        <f t="shared" si="0"/>
        <v>116317</v>
      </c>
      <c r="C23" s="200">
        <v>58057</v>
      </c>
      <c r="D23" s="200">
        <v>58260</v>
      </c>
      <c r="E23" s="218">
        <f t="shared" si="1"/>
        <v>10132.142857142857</v>
      </c>
      <c r="F23" s="220">
        <v>11.48</v>
      </c>
    </row>
    <row r="24" spans="1:6" ht="21" customHeight="1">
      <c r="A24" s="43" t="s">
        <v>127</v>
      </c>
      <c r="B24" s="200">
        <f t="shared" si="0"/>
        <v>72955</v>
      </c>
      <c r="C24" s="200">
        <v>36140</v>
      </c>
      <c r="D24" s="200">
        <v>36815</v>
      </c>
      <c r="E24" s="218">
        <f t="shared" si="1"/>
        <v>8951.533742331289</v>
      </c>
      <c r="F24" s="220">
        <v>8.15</v>
      </c>
    </row>
    <row r="25" spans="1:6" ht="21" customHeight="1">
      <c r="A25" s="43" t="s">
        <v>129</v>
      </c>
      <c r="B25" s="200">
        <f t="shared" si="0"/>
        <v>58122</v>
      </c>
      <c r="C25" s="200">
        <v>29331</v>
      </c>
      <c r="D25" s="200">
        <v>28791</v>
      </c>
      <c r="E25" s="218">
        <f t="shared" si="1"/>
        <v>5675.9765625</v>
      </c>
      <c r="F25" s="220">
        <v>10.24</v>
      </c>
    </row>
    <row r="26" spans="1:6" ht="21" customHeight="1">
      <c r="A26" s="43" t="s">
        <v>131</v>
      </c>
      <c r="B26" s="200">
        <f t="shared" si="0"/>
        <v>76255</v>
      </c>
      <c r="C26" s="200">
        <v>37501</v>
      </c>
      <c r="D26" s="200">
        <v>38754</v>
      </c>
      <c r="E26" s="218">
        <f t="shared" si="1"/>
        <v>11933.489827856025</v>
      </c>
      <c r="F26" s="220">
        <v>6.39</v>
      </c>
    </row>
    <row r="27" spans="1:6" ht="21" customHeight="1">
      <c r="A27" s="43" t="s">
        <v>133</v>
      </c>
      <c r="B27" s="200">
        <f t="shared" si="0"/>
        <v>82605</v>
      </c>
      <c r="C27" s="200">
        <v>41141</v>
      </c>
      <c r="D27" s="200">
        <v>41464</v>
      </c>
      <c r="E27" s="218">
        <f t="shared" si="1"/>
        <v>6100.812407680945</v>
      </c>
      <c r="F27" s="220">
        <v>13.54</v>
      </c>
    </row>
    <row r="28" spans="1:6" ht="21" customHeight="1">
      <c r="A28" s="43" t="s">
        <v>135</v>
      </c>
      <c r="B28" s="200">
        <f t="shared" si="0"/>
        <v>72734</v>
      </c>
      <c r="C28" s="200">
        <v>35401</v>
      </c>
      <c r="D28" s="200">
        <v>37333</v>
      </c>
      <c r="E28" s="218">
        <f t="shared" si="1"/>
        <v>7137.782139352306</v>
      </c>
      <c r="F28" s="220">
        <v>10.19</v>
      </c>
    </row>
    <row r="29" spans="1:6" ht="21" customHeight="1">
      <c r="A29" s="43" t="s">
        <v>137</v>
      </c>
      <c r="B29" s="200">
        <f t="shared" si="0"/>
        <v>114807</v>
      </c>
      <c r="C29" s="200">
        <v>56851</v>
      </c>
      <c r="D29" s="200">
        <v>57956</v>
      </c>
      <c r="E29" s="218">
        <f t="shared" si="1"/>
        <v>8885.990712074303</v>
      </c>
      <c r="F29" s="220">
        <v>12.92</v>
      </c>
    </row>
    <row r="30" spans="1:6" ht="21" customHeight="1">
      <c r="A30" s="43" t="s">
        <v>139</v>
      </c>
      <c r="B30" s="200">
        <f t="shared" si="0"/>
        <v>70075</v>
      </c>
      <c r="C30" s="200">
        <v>35221</v>
      </c>
      <c r="D30" s="200">
        <v>34854</v>
      </c>
      <c r="E30" s="218">
        <f t="shared" si="1"/>
        <v>4559.206245933638</v>
      </c>
      <c r="F30" s="220">
        <v>15.37</v>
      </c>
    </row>
    <row r="31" spans="1:6" ht="21" customHeight="1">
      <c r="A31" s="43" t="s">
        <v>141</v>
      </c>
      <c r="B31" s="200">
        <f t="shared" si="0"/>
        <v>145682</v>
      </c>
      <c r="C31" s="200">
        <v>72399</v>
      </c>
      <c r="D31" s="200">
        <v>73283</v>
      </c>
      <c r="E31" s="218">
        <f t="shared" si="1"/>
        <v>6910.91081593928</v>
      </c>
      <c r="F31" s="220">
        <v>21.08</v>
      </c>
    </row>
    <row r="32" spans="1:6" ht="21" customHeight="1">
      <c r="A32" s="43" t="s">
        <v>143</v>
      </c>
      <c r="B32" s="200">
        <f t="shared" si="0"/>
        <v>82029</v>
      </c>
      <c r="C32" s="200">
        <v>41712</v>
      </c>
      <c r="D32" s="200">
        <v>40317</v>
      </c>
      <c r="E32" s="218">
        <f t="shared" si="1"/>
        <v>4564.774624373957</v>
      </c>
      <c r="F32" s="220">
        <v>17.97</v>
      </c>
    </row>
    <row r="33" spans="1:6" ht="21" customHeight="1">
      <c r="A33" s="43" t="s">
        <v>145</v>
      </c>
      <c r="B33" s="200">
        <f t="shared" si="0"/>
        <v>55934</v>
      </c>
      <c r="C33" s="200">
        <v>28542</v>
      </c>
      <c r="D33" s="200">
        <v>27392</v>
      </c>
      <c r="E33" s="218">
        <f t="shared" si="1"/>
        <v>5644.197780020181</v>
      </c>
      <c r="F33" s="220">
        <v>9.91</v>
      </c>
    </row>
    <row r="34" spans="1:6" ht="21" customHeight="1">
      <c r="A34" s="43" t="s">
        <v>147</v>
      </c>
      <c r="B34" s="200">
        <f t="shared" si="0"/>
        <v>81143</v>
      </c>
      <c r="C34" s="200">
        <v>40705</v>
      </c>
      <c r="D34" s="200">
        <v>40438</v>
      </c>
      <c r="E34" s="218">
        <f t="shared" si="1"/>
        <v>1106.394873193346</v>
      </c>
      <c r="F34" s="220">
        <v>73.34</v>
      </c>
    </row>
    <row r="35" spans="1:6" ht="21" customHeight="1">
      <c r="A35" s="43" t="s">
        <v>149</v>
      </c>
      <c r="B35" s="200">
        <f t="shared" si="0"/>
        <v>191421</v>
      </c>
      <c r="C35" s="202">
        <v>94257</v>
      </c>
      <c r="D35" s="202">
        <v>97164</v>
      </c>
      <c r="E35" s="287">
        <f>B35/F35</f>
        <v>12077.034700315458</v>
      </c>
      <c r="F35" s="220">
        <v>15.85</v>
      </c>
    </row>
    <row r="36" spans="1:6" ht="5.25" customHeight="1">
      <c r="A36" s="85"/>
      <c r="B36" s="86"/>
      <c r="C36" s="87"/>
      <c r="D36" s="87"/>
      <c r="E36" s="108"/>
      <c r="F36" s="35"/>
    </row>
    <row r="37" spans="1:4" s="190" customFormat="1" ht="13.5" customHeight="1">
      <c r="A37" s="193" t="s">
        <v>345</v>
      </c>
      <c r="B37" s="194"/>
      <c r="C37" s="194"/>
      <c r="D37" s="194"/>
    </row>
    <row r="38" spans="1:4" s="190" customFormat="1" ht="13.5">
      <c r="A38" s="193" t="s">
        <v>327</v>
      </c>
      <c r="B38" s="194"/>
      <c r="C38" s="194"/>
      <c r="D38" s="194"/>
    </row>
    <row r="40" ht="13.5">
      <c r="A40" s="14"/>
    </row>
    <row r="41" ht="13.5">
      <c r="A41" s="14"/>
    </row>
    <row r="42" ht="13.5">
      <c r="A42" s="14"/>
    </row>
    <row r="43" ht="13.5">
      <c r="A43" s="14"/>
    </row>
    <row r="44" ht="13.5">
      <c r="A44" s="14"/>
    </row>
    <row r="45" ht="13.5">
      <c r="A45" s="1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pane ySplit="5" topLeftCell="BM12" activePane="bottomLeft" state="frozen"/>
      <selection pane="topLeft" activeCell="C25" sqref="C25"/>
      <selection pane="bottomLeft" activeCell="C25" sqref="C25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23" hidden="1" customWidth="1"/>
    <col min="10" max="11" width="9.50390625" style="2" bestFit="1" customWidth="1"/>
    <col min="12" max="12" width="9.125" style="2" customWidth="1"/>
    <col min="13" max="16384" width="9.00390625" style="2" customWidth="1"/>
  </cols>
  <sheetData>
    <row r="1" ht="13.5">
      <c r="I1" s="205" t="s">
        <v>256</v>
      </c>
    </row>
    <row r="2" spans="1:12" ht="23.25" customHeight="1">
      <c r="A2" s="27" t="s">
        <v>248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3.5">
      <c r="A3" s="96"/>
      <c r="B3" s="96"/>
      <c r="C3" s="96"/>
      <c r="D3" s="96"/>
      <c r="E3" s="96"/>
      <c r="F3" s="96"/>
      <c r="G3" s="96"/>
      <c r="H3" s="96"/>
      <c r="I3" s="97"/>
      <c r="J3" s="40"/>
      <c r="K3" s="40"/>
      <c r="L3" s="40" t="s">
        <v>343</v>
      </c>
    </row>
    <row r="4" spans="1:12" ht="13.5">
      <c r="A4" s="296"/>
      <c r="B4" s="295"/>
      <c r="C4" s="295"/>
      <c r="D4" s="295" t="s">
        <v>5</v>
      </c>
      <c r="E4" s="295" t="s">
        <v>7</v>
      </c>
      <c r="F4" s="295"/>
      <c r="G4" s="295"/>
      <c r="H4" s="102" t="s">
        <v>114</v>
      </c>
      <c r="I4" s="99" t="s">
        <v>255</v>
      </c>
      <c r="J4" s="295" t="s">
        <v>157</v>
      </c>
      <c r="K4" s="295"/>
      <c r="L4" s="104" t="s">
        <v>4</v>
      </c>
    </row>
    <row r="5" spans="1:12" ht="13.5">
      <c r="A5" s="297"/>
      <c r="B5" s="298"/>
      <c r="C5" s="298"/>
      <c r="D5" s="298"/>
      <c r="E5" s="100" t="s">
        <v>8</v>
      </c>
      <c r="F5" s="100" t="s">
        <v>9</v>
      </c>
      <c r="G5" s="100" t="s">
        <v>10</v>
      </c>
      <c r="H5" s="103" t="s">
        <v>2</v>
      </c>
      <c r="I5" s="101"/>
      <c r="J5" s="100" t="s">
        <v>35</v>
      </c>
      <c r="K5" s="100" t="s">
        <v>113</v>
      </c>
      <c r="L5" s="105" t="s">
        <v>186</v>
      </c>
    </row>
    <row r="6" spans="1:12" ht="6" customHeight="1">
      <c r="A6" s="301"/>
      <c r="B6" s="301"/>
      <c r="C6" s="106"/>
      <c r="D6" s="88"/>
      <c r="E6" s="45"/>
      <c r="F6" s="45"/>
      <c r="G6" s="45"/>
      <c r="H6" s="89"/>
      <c r="I6" s="90"/>
      <c r="J6" s="45"/>
      <c r="K6" s="45"/>
      <c r="L6" s="33"/>
    </row>
    <row r="7" spans="1:12" s="210" customFormat="1" ht="13.5">
      <c r="A7" s="299" t="s">
        <v>115</v>
      </c>
      <c r="B7" s="299"/>
      <c r="C7" s="107"/>
      <c r="D7" s="8">
        <f>SUM(D9,D18,D26,D34,D39,D44,D49,D51,D59,'1 人口3 (2)'!D7,'1 人口3 (2)'!D15,'1 人口3 (2)'!D24,'1 人口3 (2)'!D34,'1 人口3 (2)'!D43,'1 人口3 (2)'!D51,'1 人口3 (2)'!D22)</f>
        <v>81794</v>
      </c>
      <c r="E7" s="8">
        <f>SUM(F7:G7)</f>
        <v>174458</v>
      </c>
      <c r="F7" s="8">
        <f>SUM(F9,F18,F26,F34,F39,F44,F49,F51,F59,'1 人口3 (2)'!F7,'1 人口3 (2)'!F15,'1 人口3 (2)'!F24,'1 人口3 (2)'!F34,'1 人口3 (2)'!F43,'1 人口3 (2)'!F51,'1 人口3 (2)'!F22)</f>
        <v>87414</v>
      </c>
      <c r="G7" s="8">
        <f>SUM(G9,G18,G26,G34,G39,G44,G49,G51,G59,'1 人口3 (2)'!G7,'1 人口3 (2)'!G15,'1 人口3 (2)'!G24,'1 人口3 (2)'!G34,'1 人口3 (2)'!G43,'1 人口3 (2)'!G51,'1 人口3 (2)'!G22)</f>
        <v>87044</v>
      </c>
      <c r="H7" s="213">
        <f>E7/D7</f>
        <v>2.1328948333618603</v>
      </c>
      <c r="I7" s="22">
        <v>173692</v>
      </c>
      <c r="J7" s="8">
        <f>E7-I7</f>
        <v>766</v>
      </c>
      <c r="K7" s="20">
        <f>J7/(E7-J7)*100</f>
        <v>0.4410105243764825</v>
      </c>
      <c r="L7" s="4">
        <f>E7/24.38</f>
        <v>7155.783429040197</v>
      </c>
    </row>
    <row r="8" spans="1:12" ht="6" customHeight="1">
      <c r="A8" s="300"/>
      <c r="B8" s="300"/>
      <c r="C8" s="71"/>
      <c r="D8" s="30"/>
      <c r="E8" s="31"/>
      <c r="F8" s="31"/>
      <c r="G8" s="31"/>
      <c r="H8" s="54"/>
      <c r="I8" s="94"/>
      <c r="J8" s="31"/>
      <c r="K8" s="54"/>
      <c r="L8" s="31"/>
    </row>
    <row r="9" spans="1:12" s="210" customFormat="1" ht="13.5">
      <c r="A9" s="299" t="s">
        <v>12</v>
      </c>
      <c r="B9" s="299"/>
      <c r="C9" s="212"/>
      <c r="D9" s="207">
        <f>SUM(D10:D16)</f>
        <v>9339</v>
      </c>
      <c r="E9" s="8">
        <f>SUM(E10:E16)</f>
        <v>19552</v>
      </c>
      <c r="F9" s="8">
        <f>SUM(F10:F16)</f>
        <v>9716</v>
      </c>
      <c r="G9" s="8">
        <f>SUM(G10:G16)</f>
        <v>9836</v>
      </c>
      <c r="H9" s="213">
        <f>E9/D9</f>
        <v>2.0935860370489348</v>
      </c>
      <c r="I9" s="17">
        <v>19464</v>
      </c>
      <c r="J9" s="4">
        <f>SUM(J10:J16)</f>
        <v>88</v>
      </c>
      <c r="K9" s="20">
        <f>J9/(E9-J9)*100</f>
        <v>0.45211672831894784</v>
      </c>
      <c r="L9" s="4">
        <f>E9/1.746</f>
        <v>11198.167239404353</v>
      </c>
    </row>
    <row r="10" spans="1:12" ht="13.5">
      <c r="A10" s="91"/>
      <c r="B10" s="91" t="s">
        <v>13</v>
      </c>
      <c r="C10" s="36"/>
      <c r="D10" s="209">
        <v>1903</v>
      </c>
      <c r="E10" s="30">
        <f>SUM(F10:G10)</f>
        <v>3893</v>
      </c>
      <c r="F10" s="204">
        <v>1891</v>
      </c>
      <c r="G10" s="204">
        <v>2002</v>
      </c>
      <c r="H10" s="92">
        <f aca="true" t="shared" si="0" ref="H10:H32">E10/D10</f>
        <v>2.045717288491855</v>
      </c>
      <c r="I10" s="94">
        <v>3913</v>
      </c>
      <c r="J10" s="31">
        <f>E10-I10</f>
        <v>-20</v>
      </c>
      <c r="K10" s="54">
        <f aca="true" t="shared" si="1" ref="K10:K16">J10/(E10-J10)*100</f>
        <v>-0.5111167901865576</v>
      </c>
      <c r="L10" s="31">
        <f>E10/0.239</f>
        <v>16288.702928870294</v>
      </c>
    </row>
    <row r="11" spans="1:12" ht="13.5">
      <c r="A11" s="91"/>
      <c r="B11" s="91" t="s">
        <v>14</v>
      </c>
      <c r="C11" s="36"/>
      <c r="D11" s="209">
        <v>1579</v>
      </c>
      <c r="E11" s="30">
        <f aca="true" t="shared" si="2" ref="E11:E16">SUM(F11:G11)</f>
        <v>2988</v>
      </c>
      <c r="F11" s="204">
        <v>1471</v>
      </c>
      <c r="G11" s="204">
        <v>1517</v>
      </c>
      <c r="H11" s="92">
        <f t="shared" si="0"/>
        <v>1.8923369221025965</v>
      </c>
      <c r="I11" s="94">
        <v>2973</v>
      </c>
      <c r="J11" s="31">
        <f aca="true" t="shared" si="3" ref="J11:J16">E11-I11</f>
        <v>15</v>
      </c>
      <c r="K11" s="54">
        <f t="shared" si="1"/>
        <v>0.5045408678102926</v>
      </c>
      <c r="L11" s="31">
        <f>E11/0.238</f>
        <v>12554.621848739496</v>
      </c>
    </row>
    <row r="12" spans="1:12" ht="13.5">
      <c r="A12" s="91"/>
      <c r="B12" s="91" t="s">
        <v>15</v>
      </c>
      <c r="C12" s="36"/>
      <c r="D12" s="209">
        <v>418</v>
      </c>
      <c r="E12" s="30">
        <f t="shared" si="2"/>
        <v>917</v>
      </c>
      <c r="F12" s="204">
        <v>489</v>
      </c>
      <c r="G12" s="204">
        <v>428</v>
      </c>
      <c r="H12" s="92">
        <f t="shared" si="0"/>
        <v>2.1937799043062203</v>
      </c>
      <c r="I12" s="94">
        <v>902</v>
      </c>
      <c r="J12" s="31">
        <f t="shared" si="3"/>
        <v>15</v>
      </c>
      <c r="K12" s="54">
        <f t="shared" si="1"/>
        <v>1.662971175166297</v>
      </c>
      <c r="L12" s="31">
        <f>E12/0.294</f>
        <v>3119.0476190476193</v>
      </c>
    </row>
    <row r="13" spans="1:12" ht="13.5">
      <c r="A13" s="91"/>
      <c r="B13" s="91" t="s">
        <v>16</v>
      </c>
      <c r="C13" s="36"/>
      <c r="D13" s="209">
        <v>819</v>
      </c>
      <c r="E13" s="30">
        <f t="shared" si="2"/>
        <v>1706</v>
      </c>
      <c r="F13" s="204">
        <v>876</v>
      </c>
      <c r="G13" s="204">
        <v>830</v>
      </c>
      <c r="H13" s="92">
        <f t="shared" si="0"/>
        <v>2.083028083028083</v>
      </c>
      <c r="I13" s="94">
        <v>1720</v>
      </c>
      <c r="J13" s="31">
        <f t="shared" si="3"/>
        <v>-14</v>
      </c>
      <c r="K13" s="54">
        <f t="shared" si="1"/>
        <v>-0.813953488372093</v>
      </c>
      <c r="L13" s="31">
        <f>E13/0.167</f>
        <v>10215.568862275448</v>
      </c>
    </row>
    <row r="14" spans="1:12" ht="13.5">
      <c r="A14" s="91"/>
      <c r="B14" s="91" t="s">
        <v>17</v>
      </c>
      <c r="C14" s="36"/>
      <c r="D14" s="209">
        <v>679</v>
      </c>
      <c r="E14" s="30">
        <f t="shared" si="2"/>
        <v>1433</v>
      </c>
      <c r="F14" s="204">
        <v>702</v>
      </c>
      <c r="G14" s="204">
        <v>731</v>
      </c>
      <c r="H14" s="92">
        <f t="shared" si="0"/>
        <v>2.110456553755523</v>
      </c>
      <c r="I14" s="94">
        <v>1460</v>
      </c>
      <c r="J14" s="31">
        <f t="shared" si="3"/>
        <v>-27</v>
      </c>
      <c r="K14" s="54">
        <f t="shared" si="1"/>
        <v>-1.8493150684931507</v>
      </c>
      <c r="L14" s="31">
        <f>E14/0.152</f>
        <v>9427.631578947368</v>
      </c>
    </row>
    <row r="15" spans="1:12" ht="13.5">
      <c r="A15" s="91"/>
      <c r="B15" s="91" t="s">
        <v>18</v>
      </c>
      <c r="C15" s="36"/>
      <c r="D15" s="209">
        <v>2587</v>
      </c>
      <c r="E15" s="30">
        <f t="shared" si="2"/>
        <v>5285</v>
      </c>
      <c r="F15" s="204">
        <v>2628</v>
      </c>
      <c r="G15" s="204">
        <v>2657</v>
      </c>
      <c r="H15" s="92">
        <f t="shared" si="0"/>
        <v>2.0429068419018166</v>
      </c>
      <c r="I15" s="94">
        <v>5186</v>
      </c>
      <c r="J15" s="31">
        <f t="shared" si="3"/>
        <v>99</v>
      </c>
      <c r="K15" s="54">
        <f t="shared" si="1"/>
        <v>1.9089857308137292</v>
      </c>
      <c r="L15" s="31">
        <f>E15/0.397</f>
        <v>13312.34256926952</v>
      </c>
    </row>
    <row r="16" spans="1:12" ht="13.5">
      <c r="A16" s="91"/>
      <c r="B16" s="91" t="s">
        <v>19</v>
      </c>
      <c r="C16" s="36"/>
      <c r="D16" s="209">
        <v>1354</v>
      </c>
      <c r="E16" s="30">
        <f t="shared" si="2"/>
        <v>3330</v>
      </c>
      <c r="F16" s="204">
        <v>1659</v>
      </c>
      <c r="G16" s="204">
        <v>1671</v>
      </c>
      <c r="H16" s="92">
        <f t="shared" si="0"/>
        <v>2.4593796159527326</v>
      </c>
      <c r="I16" s="94">
        <v>3310</v>
      </c>
      <c r="J16" s="31">
        <f t="shared" si="3"/>
        <v>20</v>
      </c>
      <c r="K16" s="54">
        <f t="shared" si="1"/>
        <v>0.6042296072507553</v>
      </c>
      <c r="L16" s="31">
        <f>E16/0.259</f>
        <v>12857.142857142857</v>
      </c>
    </row>
    <row r="17" spans="1:12" ht="6" customHeight="1">
      <c r="A17" s="91"/>
      <c r="B17" s="91"/>
      <c r="C17" s="36"/>
      <c r="D17" s="208"/>
      <c r="E17" s="30"/>
      <c r="F17" s="30"/>
      <c r="G17" s="30"/>
      <c r="H17" s="92"/>
      <c r="I17" s="94"/>
      <c r="J17" s="31"/>
      <c r="K17" s="54"/>
      <c r="L17" s="31"/>
    </row>
    <row r="18" spans="1:12" s="210" customFormat="1" ht="13.5">
      <c r="A18" s="299" t="s">
        <v>20</v>
      </c>
      <c r="B18" s="299"/>
      <c r="C18" s="206"/>
      <c r="D18" s="207">
        <f>SUM(D19:D24)</f>
        <v>4756</v>
      </c>
      <c r="E18" s="8">
        <f>SUM(E19:E24)</f>
        <v>9656</v>
      </c>
      <c r="F18" s="8">
        <f>SUM(F19:F24)</f>
        <v>4790</v>
      </c>
      <c r="G18" s="8">
        <f>SUM(G19:G24)</f>
        <v>4866</v>
      </c>
      <c r="H18" s="213">
        <f t="shared" si="0"/>
        <v>2.030277544154752</v>
      </c>
      <c r="I18" s="17">
        <v>9506</v>
      </c>
      <c r="J18" s="4">
        <f>SUM(J19:J24)</f>
        <v>150</v>
      </c>
      <c r="K18" s="20">
        <f>J18/(E18-J18)*100</f>
        <v>1.5779507679360403</v>
      </c>
      <c r="L18" s="4">
        <f>E18/1.319</f>
        <v>7320.697498104625</v>
      </c>
    </row>
    <row r="19" spans="1:12" ht="13.5">
      <c r="A19" s="91"/>
      <c r="B19" s="91" t="s">
        <v>13</v>
      </c>
      <c r="C19" s="36"/>
      <c r="D19" s="209">
        <v>1041</v>
      </c>
      <c r="E19" s="31">
        <f aca="true" t="shared" si="4" ref="E19:E24">SUM(F19:G19)</f>
        <v>2105</v>
      </c>
      <c r="F19" s="204">
        <v>1070</v>
      </c>
      <c r="G19" s="204">
        <v>1035</v>
      </c>
      <c r="H19" s="54">
        <f t="shared" si="0"/>
        <v>2.02209414024976</v>
      </c>
      <c r="I19" s="94">
        <v>2107</v>
      </c>
      <c r="J19" s="31">
        <f aca="true" t="shared" si="5" ref="J19:J24">E19-I19</f>
        <v>-2</v>
      </c>
      <c r="K19" s="54">
        <f aca="true" t="shared" si="6" ref="K19:K24">J19/(E19-J19)*100</f>
        <v>-0.09492168960607499</v>
      </c>
      <c r="L19" s="31">
        <f>E19/0.275</f>
        <v>7654.545454545454</v>
      </c>
    </row>
    <row r="20" spans="1:12" ht="13.5">
      <c r="A20" s="91"/>
      <c r="B20" s="91" t="s">
        <v>14</v>
      </c>
      <c r="C20" s="36"/>
      <c r="D20" s="209">
        <v>1235</v>
      </c>
      <c r="E20" s="31">
        <f t="shared" si="4"/>
        <v>2349</v>
      </c>
      <c r="F20" s="204">
        <v>1146</v>
      </c>
      <c r="G20" s="204">
        <v>1203</v>
      </c>
      <c r="H20" s="54">
        <f t="shared" si="0"/>
        <v>1.9020242914979757</v>
      </c>
      <c r="I20" s="94">
        <v>2292</v>
      </c>
      <c r="J20" s="31">
        <f t="shared" si="5"/>
        <v>57</v>
      </c>
      <c r="K20" s="54">
        <f t="shared" si="6"/>
        <v>2.486910994764398</v>
      </c>
      <c r="L20" s="31">
        <f>E20/0.226</f>
        <v>10393.805309734513</v>
      </c>
    </row>
    <row r="21" spans="1:12" ht="13.5">
      <c r="A21" s="91"/>
      <c r="B21" s="91" t="s">
        <v>15</v>
      </c>
      <c r="C21" s="36"/>
      <c r="D21" s="209">
        <v>796</v>
      </c>
      <c r="E21" s="31">
        <f t="shared" si="4"/>
        <v>1469</v>
      </c>
      <c r="F21" s="204">
        <v>726</v>
      </c>
      <c r="G21" s="204">
        <v>743</v>
      </c>
      <c r="H21" s="54">
        <f t="shared" si="0"/>
        <v>1.8454773869346734</v>
      </c>
      <c r="I21" s="94">
        <v>1483</v>
      </c>
      <c r="J21" s="31">
        <f t="shared" si="5"/>
        <v>-14</v>
      </c>
      <c r="K21" s="54">
        <f t="shared" si="6"/>
        <v>-0.9440323668240054</v>
      </c>
      <c r="L21" s="31">
        <f>E21/0.197</f>
        <v>7456.852791878172</v>
      </c>
    </row>
    <row r="22" spans="1:12" ht="13.5">
      <c r="A22" s="91"/>
      <c r="B22" s="91" t="s">
        <v>16</v>
      </c>
      <c r="C22" s="36"/>
      <c r="D22" s="209">
        <v>978</v>
      </c>
      <c r="E22" s="31">
        <f t="shared" si="4"/>
        <v>2072</v>
      </c>
      <c r="F22" s="204">
        <v>1021</v>
      </c>
      <c r="G22" s="204">
        <v>1051</v>
      </c>
      <c r="H22" s="54">
        <f t="shared" si="0"/>
        <v>2.1186094069529653</v>
      </c>
      <c r="I22" s="94">
        <v>2069</v>
      </c>
      <c r="J22" s="31">
        <f t="shared" si="5"/>
        <v>3</v>
      </c>
      <c r="K22" s="54">
        <f t="shared" si="6"/>
        <v>0.14499758337361043</v>
      </c>
      <c r="L22" s="31">
        <f>E22/0.244</f>
        <v>8491.803278688525</v>
      </c>
    </row>
    <row r="23" spans="1:12" ht="13.5">
      <c r="A23" s="91"/>
      <c r="B23" s="91" t="s">
        <v>17</v>
      </c>
      <c r="C23" s="36"/>
      <c r="D23" s="209">
        <v>439</v>
      </c>
      <c r="E23" s="31">
        <f t="shared" si="4"/>
        <v>999</v>
      </c>
      <c r="F23" s="204">
        <v>498</v>
      </c>
      <c r="G23" s="204">
        <v>501</v>
      </c>
      <c r="H23" s="54">
        <f t="shared" si="0"/>
        <v>2.275626423690205</v>
      </c>
      <c r="I23" s="94">
        <v>974</v>
      </c>
      <c r="J23" s="31">
        <f t="shared" si="5"/>
        <v>25</v>
      </c>
      <c r="K23" s="54">
        <f t="shared" si="6"/>
        <v>2.5667351129363447</v>
      </c>
      <c r="L23" s="31">
        <f>E23/0.162</f>
        <v>6166.666666666666</v>
      </c>
    </row>
    <row r="24" spans="1:12" ht="13.5">
      <c r="A24" s="91"/>
      <c r="B24" s="91" t="s">
        <v>18</v>
      </c>
      <c r="C24" s="36"/>
      <c r="D24" s="209">
        <v>267</v>
      </c>
      <c r="E24" s="31">
        <f t="shared" si="4"/>
        <v>662</v>
      </c>
      <c r="F24" s="204">
        <v>329</v>
      </c>
      <c r="G24" s="204">
        <v>333</v>
      </c>
      <c r="H24" s="54">
        <f t="shared" si="0"/>
        <v>2.4794007490636703</v>
      </c>
      <c r="I24" s="94">
        <v>581</v>
      </c>
      <c r="J24" s="31">
        <f t="shared" si="5"/>
        <v>81</v>
      </c>
      <c r="K24" s="54">
        <f t="shared" si="6"/>
        <v>13.941480206540447</v>
      </c>
      <c r="L24" s="31">
        <f>E24/0.215</f>
        <v>3079.0697674418607</v>
      </c>
    </row>
    <row r="25" spans="1:12" ht="6" customHeight="1">
      <c r="A25" s="91"/>
      <c r="B25" s="91"/>
      <c r="C25" s="36"/>
      <c r="D25" s="208"/>
      <c r="E25" s="31"/>
      <c r="F25" s="30"/>
      <c r="G25" s="30"/>
      <c r="H25" s="54"/>
      <c r="I25" s="94"/>
      <c r="J25" s="31"/>
      <c r="K25" s="54"/>
      <c r="L25" s="31"/>
    </row>
    <row r="26" spans="1:12" s="210" customFormat="1" ht="13.5">
      <c r="A26" s="299" t="s">
        <v>21</v>
      </c>
      <c r="B26" s="299"/>
      <c r="C26" s="206"/>
      <c r="D26" s="207">
        <f>SUM(D27:D32)</f>
        <v>8404</v>
      </c>
      <c r="E26" s="4">
        <f>SUM(E27:E32)</f>
        <v>15984</v>
      </c>
      <c r="F26" s="8">
        <f>SUM(F27:F32)</f>
        <v>8134</v>
      </c>
      <c r="G26" s="8">
        <f>SUM(G27:G32)</f>
        <v>7850</v>
      </c>
      <c r="H26" s="20">
        <f t="shared" si="0"/>
        <v>1.9019514516896716</v>
      </c>
      <c r="I26" s="17">
        <v>16163</v>
      </c>
      <c r="J26" s="4">
        <f>SUM(J27:J32)</f>
        <v>-179</v>
      </c>
      <c r="K26" s="20">
        <f>J26/(E26-J26)*100</f>
        <v>-1.1074676730804927</v>
      </c>
      <c r="L26" s="4">
        <f>E26/1.416</f>
        <v>11288.135593220339</v>
      </c>
    </row>
    <row r="27" spans="1:12" ht="13.5">
      <c r="A27" s="91"/>
      <c r="B27" s="91" t="s">
        <v>13</v>
      </c>
      <c r="C27" s="36"/>
      <c r="D27" s="209">
        <v>2539</v>
      </c>
      <c r="E27" s="31">
        <f aca="true" t="shared" si="7" ref="E27:E32">SUM(F27:G27)</f>
        <v>4340</v>
      </c>
      <c r="F27" s="204">
        <v>2353</v>
      </c>
      <c r="G27" s="204">
        <v>1987</v>
      </c>
      <c r="H27" s="54">
        <f t="shared" si="0"/>
        <v>1.7093343836155968</v>
      </c>
      <c r="I27" s="94">
        <v>4330</v>
      </c>
      <c r="J27" s="31">
        <f aca="true" t="shared" si="8" ref="J27:J32">E27-I27</f>
        <v>10</v>
      </c>
      <c r="K27" s="54">
        <f aca="true" t="shared" si="9" ref="K27:K32">J27/(E27-J27)*100</f>
        <v>0.23094688221709006</v>
      </c>
      <c r="L27" s="31">
        <f>E27/0.271</f>
        <v>16014.760147601475</v>
      </c>
    </row>
    <row r="28" spans="1:12" ht="13.5">
      <c r="A28" s="91"/>
      <c r="B28" s="91" t="s">
        <v>14</v>
      </c>
      <c r="C28" s="36"/>
      <c r="D28" s="209">
        <v>1333</v>
      </c>
      <c r="E28" s="31">
        <f t="shared" si="7"/>
        <v>2456</v>
      </c>
      <c r="F28" s="204">
        <v>1229</v>
      </c>
      <c r="G28" s="204">
        <v>1227</v>
      </c>
      <c r="H28" s="54">
        <f t="shared" si="0"/>
        <v>1.8424606151537883</v>
      </c>
      <c r="I28" s="94">
        <v>2470</v>
      </c>
      <c r="J28" s="31">
        <f t="shared" si="8"/>
        <v>-14</v>
      </c>
      <c r="K28" s="54">
        <f t="shared" si="9"/>
        <v>-0.5668016194331984</v>
      </c>
      <c r="L28" s="31">
        <f>E28/0.194</f>
        <v>12659.79381443299</v>
      </c>
    </row>
    <row r="29" spans="1:12" ht="13.5">
      <c r="A29" s="91"/>
      <c r="B29" s="91" t="s">
        <v>15</v>
      </c>
      <c r="C29" s="36"/>
      <c r="D29" s="209">
        <v>945</v>
      </c>
      <c r="E29" s="31">
        <f t="shared" si="7"/>
        <v>1819</v>
      </c>
      <c r="F29" s="204">
        <v>863</v>
      </c>
      <c r="G29" s="204">
        <v>956</v>
      </c>
      <c r="H29" s="54">
        <f t="shared" si="0"/>
        <v>1.9248677248677248</v>
      </c>
      <c r="I29" s="94">
        <v>1827</v>
      </c>
      <c r="J29" s="31">
        <f t="shared" si="8"/>
        <v>-8</v>
      </c>
      <c r="K29" s="54">
        <f t="shared" si="9"/>
        <v>-0.4378762999452655</v>
      </c>
      <c r="L29" s="31">
        <f>E29/0.154</f>
        <v>11811.688311688311</v>
      </c>
    </row>
    <row r="30" spans="1:12" ht="13.5">
      <c r="A30" s="91"/>
      <c r="B30" s="91" t="s">
        <v>16</v>
      </c>
      <c r="C30" s="36"/>
      <c r="D30" s="209">
        <v>574</v>
      </c>
      <c r="E30" s="31">
        <f t="shared" si="7"/>
        <v>1147</v>
      </c>
      <c r="F30" s="204">
        <v>560</v>
      </c>
      <c r="G30" s="204">
        <v>587</v>
      </c>
      <c r="H30" s="54">
        <f t="shared" si="0"/>
        <v>1.9982578397212543</v>
      </c>
      <c r="I30" s="94">
        <v>1156</v>
      </c>
      <c r="J30" s="31">
        <f t="shared" si="8"/>
        <v>-9</v>
      </c>
      <c r="K30" s="54">
        <f t="shared" si="9"/>
        <v>-0.7785467128027681</v>
      </c>
      <c r="L30" s="31">
        <f>E30/0.137</f>
        <v>8372.262773722627</v>
      </c>
    </row>
    <row r="31" spans="1:12" ht="13.5">
      <c r="A31" s="91"/>
      <c r="B31" s="91" t="s">
        <v>17</v>
      </c>
      <c r="C31" s="36"/>
      <c r="D31" s="209">
        <v>925</v>
      </c>
      <c r="E31" s="31">
        <f t="shared" si="7"/>
        <v>2140</v>
      </c>
      <c r="F31" s="204">
        <v>1094</v>
      </c>
      <c r="G31" s="204">
        <v>1046</v>
      </c>
      <c r="H31" s="54">
        <f t="shared" si="0"/>
        <v>2.3135135135135134</v>
      </c>
      <c r="I31" s="94">
        <v>2185</v>
      </c>
      <c r="J31" s="31">
        <f t="shared" si="8"/>
        <v>-45</v>
      </c>
      <c r="K31" s="54">
        <f t="shared" si="9"/>
        <v>-2.059496567505721</v>
      </c>
      <c r="L31" s="31">
        <f>E31/0.319</f>
        <v>6708.46394984326</v>
      </c>
    </row>
    <row r="32" spans="1:12" ht="13.5">
      <c r="A32" s="91"/>
      <c r="B32" s="91" t="s">
        <v>18</v>
      </c>
      <c r="C32" s="36"/>
      <c r="D32" s="209">
        <v>2088</v>
      </c>
      <c r="E32" s="31">
        <f t="shared" si="7"/>
        <v>4082</v>
      </c>
      <c r="F32" s="204">
        <v>2035</v>
      </c>
      <c r="G32" s="204">
        <v>2047</v>
      </c>
      <c r="H32" s="54">
        <f t="shared" si="0"/>
        <v>1.9549808429118773</v>
      </c>
      <c r="I32" s="94">
        <v>4195</v>
      </c>
      <c r="J32" s="31">
        <f t="shared" si="8"/>
        <v>-113</v>
      </c>
      <c r="K32" s="54">
        <f t="shared" si="9"/>
        <v>-2.693682955899881</v>
      </c>
      <c r="L32" s="31">
        <f>E32/0.341</f>
        <v>11970.674486803518</v>
      </c>
    </row>
    <row r="33" spans="1:12" ht="6" customHeight="1">
      <c r="A33" s="91"/>
      <c r="B33" s="91"/>
      <c r="C33" s="36"/>
      <c r="D33" s="208"/>
      <c r="E33" s="31"/>
      <c r="F33" s="30"/>
      <c r="G33" s="30"/>
      <c r="H33" s="54"/>
      <c r="I33" s="94"/>
      <c r="J33" s="31"/>
      <c r="K33" s="54"/>
      <c r="L33" s="31"/>
    </row>
    <row r="34" spans="1:12" s="210" customFormat="1" ht="13.5">
      <c r="A34" s="299" t="s">
        <v>22</v>
      </c>
      <c r="B34" s="299"/>
      <c r="C34" s="206"/>
      <c r="D34" s="207">
        <f>SUM(D35:D37)</f>
        <v>5046</v>
      </c>
      <c r="E34" s="4">
        <f>SUM(E35:E37)</f>
        <v>9787</v>
      </c>
      <c r="F34" s="8">
        <f>SUM(F35:F37)</f>
        <v>4651</v>
      </c>
      <c r="G34" s="8">
        <f>SUM(G35:G37)</f>
        <v>5136</v>
      </c>
      <c r="H34" s="20">
        <f>E34/D34</f>
        <v>1.9395560840269521</v>
      </c>
      <c r="I34" s="17">
        <v>9855</v>
      </c>
      <c r="J34" s="4">
        <f>SUM(J35:J37)</f>
        <v>-68</v>
      </c>
      <c r="K34" s="20">
        <f>J34/(E34-J34)*100</f>
        <v>-0.6900050735667175</v>
      </c>
      <c r="L34" s="4">
        <f>E34/0.738</f>
        <v>13261.517615176152</v>
      </c>
    </row>
    <row r="35" spans="1:12" ht="13.5">
      <c r="A35" s="91"/>
      <c r="B35" s="91" t="s">
        <v>13</v>
      </c>
      <c r="C35" s="36"/>
      <c r="D35" s="208">
        <v>1835</v>
      </c>
      <c r="E35" s="31">
        <f>SUM(F35:G35)</f>
        <v>3469</v>
      </c>
      <c r="F35" s="204">
        <v>1591</v>
      </c>
      <c r="G35" s="204">
        <v>1878</v>
      </c>
      <c r="H35" s="54">
        <f>E35/D35</f>
        <v>1.8904632152588556</v>
      </c>
      <c r="I35" s="94">
        <v>3446</v>
      </c>
      <c r="J35" s="31">
        <f>E35-I35</f>
        <v>23</v>
      </c>
      <c r="K35" s="54">
        <f>J35/(E35-J35)*100</f>
        <v>0.6674405107370864</v>
      </c>
      <c r="L35" s="31">
        <f>E35/0.181</f>
        <v>19165.74585635359</v>
      </c>
    </row>
    <row r="36" spans="1:12" ht="13.5">
      <c r="A36" s="91"/>
      <c r="B36" s="91" t="s">
        <v>14</v>
      </c>
      <c r="C36" s="36"/>
      <c r="D36" s="208">
        <v>2247</v>
      </c>
      <c r="E36" s="31">
        <f>SUM(F36:G36)</f>
        <v>4428</v>
      </c>
      <c r="F36" s="204">
        <v>2152</v>
      </c>
      <c r="G36" s="204">
        <v>2276</v>
      </c>
      <c r="H36" s="54">
        <f>E36/D36</f>
        <v>1.9706275033377838</v>
      </c>
      <c r="I36" s="94">
        <v>4494</v>
      </c>
      <c r="J36" s="31">
        <f>E36-I36</f>
        <v>-66</v>
      </c>
      <c r="K36" s="54">
        <f>J36/(E36-J36)*100</f>
        <v>-1.4686248331108143</v>
      </c>
      <c r="L36" s="31">
        <f>E36/0.317</f>
        <v>13968.45425867508</v>
      </c>
    </row>
    <row r="37" spans="1:12" ht="13.5">
      <c r="A37" s="91"/>
      <c r="B37" s="91" t="s">
        <v>15</v>
      </c>
      <c r="C37" s="36"/>
      <c r="D37" s="208">
        <v>964</v>
      </c>
      <c r="E37" s="31">
        <f>SUM(F37:G37)</f>
        <v>1890</v>
      </c>
      <c r="F37" s="204">
        <v>908</v>
      </c>
      <c r="G37" s="204">
        <v>982</v>
      </c>
      <c r="H37" s="54">
        <f>E37/D37</f>
        <v>1.9605809128630705</v>
      </c>
      <c r="I37" s="94">
        <v>1915</v>
      </c>
      <c r="J37" s="31">
        <f>E37-I37</f>
        <v>-25</v>
      </c>
      <c r="K37" s="54">
        <f>J37/(E37-J37)*100</f>
        <v>-1.3054830287206265</v>
      </c>
      <c r="L37" s="31">
        <f>E37/0.24</f>
        <v>7875</v>
      </c>
    </row>
    <row r="38" spans="1:12" ht="6" customHeight="1">
      <c r="A38" s="91"/>
      <c r="B38" s="91"/>
      <c r="C38" s="36"/>
      <c r="D38" s="208"/>
      <c r="E38" s="31"/>
      <c r="F38" s="30"/>
      <c r="G38" s="30"/>
      <c r="H38" s="54"/>
      <c r="I38" s="94"/>
      <c r="J38" s="31"/>
      <c r="K38" s="54"/>
      <c r="L38" s="31"/>
    </row>
    <row r="39" spans="1:12" s="210" customFormat="1" ht="13.5">
      <c r="A39" s="299" t="s">
        <v>23</v>
      </c>
      <c r="B39" s="299"/>
      <c r="C39" s="206"/>
      <c r="D39" s="207">
        <f>SUM(D40:D42)</f>
        <v>5587</v>
      </c>
      <c r="E39" s="4">
        <f>SUM(E40:E42)</f>
        <v>10416</v>
      </c>
      <c r="F39" s="8">
        <f>SUM(F40:F42)</f>
        <v>5331</v>
      </c>
      <c r="G39" s="8">
        <f>SUM(G40:G42)</f>
        <v>5085</v>
      </c>
      <c r="H39" s="20">
        <f>E39/D39</f>
        <v>1.8643279040630034</v>
      </c>
      <c r="I39" s="17">
        <v>10247</v>
      </c>
      <c r="J39" s="4">
        <f>SUM(J40:J42)</f>
        <v>169</v>
      </c>
      <c r="K39" s="20">
        <f>J39/(E39-J39)*100</f>
        <v>1.6492631989850688</v>
      </c>
      <c r="L39" s="4">
        <f>E39/1.021</f>
        <v>10201.762977473067</v>
      </c>
    </row>
    <row r="40" spans="1:12" ht="13.5">
      <c r="A40" s="91"/>
      <c r="B40" s="91" t="s">
        <v>13</v>
      </c>
      <c r="C40" s="36"/>
      <c r="D40" s="208">
        <v>1873</v>
      </c>
      <c r="E40" s="31">
        <f>SUM(F40:G40)</f>
        <v>3241</v>
      </c>
      <c r="F40" s="204">
        <v>1696</v>
      </c>
      <c r="G40" s="204">
        <v>1545</v>
      </c>
      <c r="H40" s="54">
        <f>E40/D40</f>
        <v>1.7303790710090763</v>
      </c>
      <c r="I40" s="94">
        <v>3169</v>
      </c>
      <c r="J40" s="31">
        <f>E40-I40</f>
        <v>72</v>
      </c>
      <c r="K40" s="54">
        <f>J40/(E40-J40)*100</f>
        <v>2.272010097822657</v>
      </c>
      <c r="L40" s="31">
        <f>E40/0.219</f>
        <v>14799.086757990868</v>
      </c>
    </row>
    <row r="41" spans="1:12" ht="13.5">
      <c r="A41" s="91"/>
      <c r="B41" s="91" t="s">
        <v>14</v>
      </c>
      <c r="C41" s="36"/>
      <c r="D41" s="208">
        <v>1220</v>
      </c>
      <c r="E41" s="31">
        <f>SUM(F41:G41)</f>
        <v>2329</v>
      </c>
      <c r="F41" s="204">
        <v>1148</v>
      </c>
      <c r="G41" s="204">
        <v>1181</v>
      </c>
      <c r="H41" s="54">
        <f>E41/D41</f>
        <v>1.909016393442623</v>
      </c>
      <c r="I41" s="94">
        <v>2259</v>
      </c>
      <c r="J41" s="31">
        <f>E41-I41</f>
        <v>70</v>
      </c>
      <c r="K41" s="54">
        <f>J41/(E41-J41)*100</f>
        <v>3.098716246126605</v>
      </c>
      <c r="L41" s="31">
        <f>E41/0.305</f>
        <v>7636.065573770492</v>
      </c>
    </row>
    <row r="42" spans="1:12" ht="13.5">
      <c r="A42" s="91"/>
      <c r="B42" s="91" t="s">
        <v>15</v>
      </c>
      <c r="C42" s="36"/>
      <c r="D42" s="208">
        <v>2494</v>
      </c>
      <c r="E42" s="31">
        <f>SUM(F42:G42)</f>
        <v>4846</v>
      </c>
      <c r="F42" s="204">
        <v>2487</v>
      </c>
      <c r="G42" s="204">
        <v>2359</v>
      </c>
      <c r="H42" s="54">
        <f>E42/D42</f>
        <v>1.9430633520449079</v>
      </c>
      <c r="I42" s="94">
        <v>4819</v>
      </c>
      <c r="J42" s="31">
        <f>E42-I42</f>
        <v>27</v>
      </c>
      <c r="K42" s="54">
        <f>J42/(E42-J42)*100</f>
        <v>0.560282216227433</v>
      </c>
      <c r="L42" s="31">
        <f>E42/0.497</f>
        <v>9750.503018108651</v>
      </c>
    </row>
    <row r="43" spans="1:12" ht="6" customHeight="1">
      <c r="A43" s="91"/>
      <c r="B43" s="91"/>
      <c r="C43" s="36"/>
      <c r="D43" s="208"/>
      <c r="E43" s="31"/>
      <c r="F43" s="30"/>
      <c r="G43" s="30"/>
      <c r="H43" s="54"/>
      <c r="I43" s="94"/>
      <c r="J43" s="31"/>
      <c r="K43" s="54"/>
      <c r="L43" s="31"/>
    </row>
    <row r="44" spans="1:12" s="210" customFormat="1" ht="13.5">
      <c r="A44" s="299" t="s">
        <v>24</v>
      </c>
      <c r="B44" s="299"/>
      <c r="C44" s="206"/>
      <c r="D44" s="207">
        <f>SUM(D45:D47)</f>
        <v>5441</v>
      </c>
      <c r="E44" s="4">
        <f>SUM(E45:E47)</f>
        <v>9598</v>
      </c>
      <c r="F44" s="8">
        <f>SUM(F45:F47)</f>
        <v>5114</v>
      </c>
      <c r="G44" s="8">
        <f>SUM(G45:G47)</f>
        <v>4484</v>
      </c>
      <c r="H44" s="20">
        <f>E44/D44</f>
        <v>1.7640139680205844</v>
      </c>
      <c r="I44" s="17">
        <v>9646</v>
      </c>
      <c r="J44" s="4">
        <f>SUM(J45:J47)</f>
        <v>-48</v>
      </c>
      <c r="K44" s="20">
        <f>J44/(E44-J44)*100</f>
        <v>-0.49761559195521454</v>
      </c>
      <c r="L44" s="4">
        <f>E44/0.842</f>
        <v>11399.049881235154</v>
      </c>
    </row>
    <row r="45" spans="1:12" ht="13.5">
      <c r="A45" s="91"/>
      <c r="B45" s="91" t="s">
        <v>13</v>
      </c>
      <c r="C45" s="36"/>
      <c r="D45" s="208">
        <v>1411</v>
      </c>
      <c r="E45" s="31">
        <f>SUM(F45:G45)</f>
        <v>2545</v>
      </c>
      <c r="F45" s="204">
        <v>1387</v>
      </c>
      <c r="G45" s="204">
        <v>1158</v>
      </c>
      <c r="H45" s="54">
        <f>E45/D45</f>
        <v>1.8036853295535082</v>
      </c>
      <c r="I45" s="94">
        <v>2568</v>
      </c>
      <c r="J45" s="31">
        <f>E45-I45</f>
        <v>-23</v>
      </c>
      <c r="K45" s="54">
        <f>J45/(E45-J45)*100</f>
        <v>-0.895638629283489</v>
      </c>
      <c r="L45" s="31">
        <f>E45/0.44</f>
        <v>5784.090909090909</v>
      </c>
    </row>
    <row r="46" spans="1:12" ht="13.5">
      <c r="A46" s="91"/>
      <c r="B46" s="91" t="s">
        <v>14</v>
      </c>
      <c r="C46" s="36"/>
      <c r="D46" s="208">
        <v>2367</v>
      </c>
      <c r="E46" s="31">
        <f>SUM(F46:G46)</f>
        <v>4085</v>
      </c>
      <c r="F46" s="204">
        <v>2152</v>
      </c>
      <c r="G46" s="204">
        <v>1933</v>
      </c>
      <c r="H46" s="54">
        <f>E46/D46</f>
        <v>1.72581326573722</v>
      </c>
      <c r="I46" s="94">
        <v>4123</v>
      </c>
      <c r="J46" s="31">
        <f>E46-I46</f>
        <v>-38</v>
      </c>
      <c r="K46" s="54">
        <f>J46/(E46-J46)*100</f>
        <v>-0.9216589861751152</v>
      </c>
      <c r="L46" s="31">
        <f>E46/0.23</f>
        <v>17760.869565217392</v>
      </c>
    </row>
    <row r="47" spans="1:12" ht="13.5">
      <c r="A47" s="91"/>
      <c r="B47" s="91" t="s">
        <v>15</v>
      </c>
      <c r="C47" s="36"/>
      <c r="D47" s="208">
        <v>1663</v>
      </c>
      <c r="E47" s="31">
        <f>SUM(F47:G47)</f>
        <v>2968</v>
      </c>
      <c r="F47" s="204">
        <v>1575</v>
      </c>
      <c r="G47" s="204">
        <v>1393</v>
      </c>
      <c r="H47" s="54">
        <f>E47/D47</f>
        <v>1.7847263980757666</v>
      </c>
      <c r="I47" s="94">
        <v>2955</v>
      </c>
      <c r="J47" s="31">
        <f>E47-I47</f>
        <v>13</v>
      </c>
      <c r="K47" s="54">
        <f>J47/(E47-J47)*100</f>
        <v>0.4399323181049069</v>
      </c>
      <c r="L47" s="31">
        <f>E47/0.172</f>
        <v>17255.813953488374</v>
      </c>
    </row>
    <row r="48" spans="1:12" ht="6" customHeight="1">
      <c r="A48" s="91"/>
      <c r="B48" s="91"/>
      <c r="C48" s="36"/>
      <c r="D48" s="208"/>
      <c r="E48" s="31"/>
      <c r="F48" s="30"/>
      <c r="G48" s="30"/>
      <c r="H48" s="54"/>
      <c r="I48" s="94"/>
      <c r="J48" s="31"/>
      <c r="K48" s="54"/>
      <c r="L48" s="31"/>
    </row>
    <row r="49" spans="1:12" s="210" customFormat="1" ht="13.5">
      <c r="A49" s="299" t="s">
        <v>25</v>
      </c>
      <c r="B49" s="299"/>
      <c r="C49" s="206"/>
      <c r="D49" s="207">
        <v>1497</v>
      </c>
      <c r="E49" s="4">
        <f>SUM(F49:G49)</f>
        <v>2968</v>
      </c>
      <c r="F49" s="211">
        <v>1650</v>
      </c>
      <c r="G49" s="211">
        <v>1318</v>
      </c>
      <c r="H49" s="20">
        <f>E49/D49</f>
        <v>1.982631930527722</v>
      </c>
      <c r="I49" s="17">
        <v>2992</v>
      </c>
      <c r="J49" s="4">
        <f>E49-I49</f>
        <v>-24</v>
      </c>
      <c r="K49" s="20">
        <f>J49/(E49-J49)*100</f>
        <v>-0.8021390374331552</v>
      </c>
      <c r="L49" s="4">
        <f>E49/1.808</f>
        <v>1641.5929203539822</v>
      </c>
    </row>
    <row r="50" spans="1:12" ht="6" customHeight="1">
      <c r="A50" s="91"/>
      <c r="B50" s="91"/>
      <c r="C50" s="36"/>
      <c r="D50" s="208"/>
      <c r="E50" s="31"/>
      <c r="F50" s="30"/>
      <c r="G50" s="30"/>
      <c r="H50" s="54"/>
      <c r="I50" s="94"/>
      <c r="J50" s="31"/>
      <c r="K50" s="54"/>
      <c r="L50" s="31"/>
    </row>
    <row r="51" spans="1:12" s="210" customFormat="1" ht="13.5">
      <c r="A51" s="299" t="s">
        <v>26</v>
      </c>
      <c r="B51" s="299"/>
      <c r="C51" s="206"/>
      <c r="D51" s="207">
        <f>SUM(D52:D57)</f>
        <v>5800</v>
      </c>
      <c r="E51" s="4">
        <f>SUM(E52:E57)</f>
        <v>12866</v>
      </c>
      <c r="F51" s="8">
        <f>SUM(F52:F57)</f>
        <v>6493</v>
      </c>
      <c r="G51" s="8">
        <f>SUM(G52:G57)</f>
        <v>6373</v>
      </c>
      <c r="H51" s="20">
        <f aca="true" t="shared" si="10" ref="H51:H57">E51/D51</f>
        <v>2.2182758620689653</v>
      </c>
      <c r="I51" s="17">
        <v>12812</v>
      </c>
      <c r="J51" s="4">
        <f>SUM(J52:J57)</f>
        <v>54</v>
      </c>
      <c r="K51" s="20">
        <f>J51/(E51-J51)*100</f>
        <v>0.42147986262878556</v>
      </c>
      <c r="L51" s="4">
        <f>E51/1.422</f>
        <v>9047.819971870606</v>
      </c>
    </row>
    <row r="52" spans="1:12" ht="13.5">
      <c r="A52" s="91"/>
      <c r="B52" s="91" t="s">
        <v>13</v>
      </c>
      <c r="C52" s="36"/>
      <c r="D52" s="209">
        <v>995</v>
      </c>
      <c r="E52" s="31">
        <f aca="true" t="shared" si="11" ref="E52:E57">SUM(F52:G52)</f>
        <v>2142</v>
      </c>
      <c r="F52" s="204">
        <v>1189</v>
      </c>
      <c r="G52" s="204">
        <v>953</v>
      </c>
      <c r="H52" s="54">
        <f t="shared" si="10"/>
        <v>2.1527638190954774</v>
      </c>
      <c r="I52" s="94">
        <v>2175</v>
      </c>
      <c r="J52" s="31">
        <f aca="true" t="shared" si="12" ref="J52:J57">E52-I52</f>
        <v>-33</v>
      </c>
      <c r="K52" s="54">
        <f aca="true" t="shared" si="13" ref="K52:K57">J52/(E52-J52)*100</f>
        <v>-1.5172413793103448</v>
      </c>
      <c r="L52" s="31">
        <f>E52/0.35</f>
        <v>6120</v>
      </c>
    </row>
    <row r="53" spans="1:12" ht="13.5">
      <c r="A53" s="91"/>
      <c r="B53" s="91" t="s">
        <v>14</v>
      </c>
      <c r="C53" s="36"/>
      <c r="D53" s="209">
        <v>810</v>
      </c>
      <c r="E53" s="31">
        <f t="shared" si="11"/>
        <v>2031</v>
      </c>
      <c r="F53" s="204">
        <v>1001</v>
      </c>
      <c r="G53" s="204">
        <v>1030</v>
      </c>
      <c r="H53" s="54">
        <f t="shared" si="10"/>
        <v>2.5074074074074075</v>
      </c>
      <c r="I53" s="94">
        <v>2020</v>
      </c>
      <c r="J53" s="31">
        <f t="shared" si="12"/>
        <v>11</v>
      </c>
      <c r="K53" s="54">
        <f t="shared" si="13"/>
        <v>0.5445544554455445</v>
      </c>
      <c r="L53" s="31">
        <f>E53/0.302</f>
        <v>6725.165562913908</v>
      </c>
    </row>
    <row r="54" spans="1:12" ht="13.5">
      <c r="A54" s="91"/>
      <c r="B54" s="91" t="s">
        <v>15</v>
      </c>
      <c r="C54" s="36"/>
      <c r="D54" s="209">
        <v>559</v>
      </c>
      <c r="E54" s="31">
        <f t="shared" si="11"/>
        <v>1321</v>
      </c>
      <c r="F54" s="204">
        <v>646</v>
      </c>
      <c r="G54" s="204">
        <v>675</v>
      </c>
      <c r="H54" s="54">
        <f t="shared" si="10"/>
        <v>2.363148479427549</v>
      </c>
      <c r="I54" s="94">
        <v>1295</v>
      </c>
      <c r="J54" s="31">
        <f t="shared" si="12"/>
        <v>26</v>
      </c>
      <c r="K54" s="54">
        <f t="shared" si="13"/>
        <v>2.0077220077220077</v>
      </c>
      <c r="L54" s="31">
        <f>E54/0.203</f>
        <v>6507.389162561576</v>
      </c>
    </row>
    <row r="55" spans="1:12" ht="13.5">
      <c r="A55" s="91"/>
      <c r="B55" s="91" t="s">
        <v>16</v>
      </c>
      <c r="C55" s="36"/>
      <c r="D55" s="209">
        <v>1215</v>
      </c>
      <c r="E55" s="31">
        <f t="shared" si="11"/>
        <v>2436</v>
      </c>
      <c r="F55" s="204">
        <v>1266</v>
      </c>
      <c r="G55" s="204">
        <v>1170</v>
      </c>
      <c r="H55" s="54">
        <f t="shared" si="10"/>
        <v>2.004938271604938</v>
      </c>
      <c r="I55" s="94">
        <v>2348</v>
      </c>
      <c r="J55" s="31">
        <f t="shared" si="12"/>
        <v>88</v>
      </c>
      <c r="K55" s="54">
        <f t="shared" si="13"/>
        <v>3.747870528109029</v>
      </c>
      <c r="L55" s="31">
        <f>E55/0.184</f>
        <v>13239.130434782608</v>
      </c>
    </row>
    <row r="56" spans="1:12" ht="13.5">
      <c r="A56" s="91"/>
      <c r="B56" s="91" t="s">
        <v>17</v>
      </c>
      <c r="C56" s="36"/>
      <c r="D56" s="209">
        <v>1550</v>
      </c>
      <c r="E56" s="31">
        <f t="shared" si="11"/>
        <v>3433</v>
      </c>
      <c r="F56" s="204">
        <v>1645</v>
      </c>
      <c r="G56" s="204">
        <v>1788</v>
      </c>
      <c r="H56" s="54">
        <f t="shared" si="10"/>
        <v>2.2148387096774194</v>
      </c>
      <c r="I56" s="94">
        <v>3465</v>
      </c>
      <c r="J56" s="31">
        <f t="shared" si="12"/>
        <v>-32</v>
      </c>
      <c r="K56" s="54">
        <f t="shared" si="13"/>
        <v>-0.9235209235209235</v>
      </c>
      <c r="L56" s="31">
        <f>E56/0.231</f>
        <v>14861.47186147186</v>
      </c>
    </row>
    <row r="57" spans="1:12" ht="13.5">
      <c r="A57" s="91"/>
      <c r="B57" s="91" t="s">
        <v>18</v>
      </c>
      <c r="C57" s="36"/>
      <c r="D57" s="209">
        <v>671</v>
      </c>
      <c r="E57" s="31">
        <f t="shared" si="11"/>
        <v>1503</v>
      </c>
      <c r="F57" s="204">
        <v>746</v>
      </c>
      <c r="G57" s="204">
        <v>757</v>
      </c>
      <c r="H57" s="54">
        <f t="shared" si="10"/>
        <v>2.2399403874813713</v>
      </c>
      <c r="I57" s="94">
        <v>1509</v>
      </c>
      <c r="J57" s="31">
        <f t="shared" si="12"/>
        <v>-6</v>
      </c>
      <c r="K57" s="54">
        <f t="shared" si="13"/>
        <v>-0.3976143141153081</v>
      </c>
      <c r="L57" s="31">
        <f>E57/0.152</f>
        <v>9888.157894736842</v>
      </c>
    </row>
    <row r="58" spans="1:12" ht="6" customHeight="1">
      <c r="A58" s="91"/>
      <c r="B58" s="91"/>
      <c r="C58" s="36"/>
      <c r="D58" s="208"/>
      <c r="E58" s="31"/>
      <c r="F58" s="30"/>
      <c r="G58" s="30"/>
      <c r="H58" s="54"/>
      <c r="I58" s="94"/>
      <c r="J58" s="31"/>
      <c r="K58" s="54"/>
      <c r="L58" s="31"/>
    </row>
    <row r="59" spans="1:12" s="210" customFormat="1" ht="13.5">
      <c r="A59" s="299" t="s">
        <v>27</v>
      </c>
      <c r="B59" s="299"/>
      <c r="C59" s="206"/>
      <c r="D59" s="207">
        <f>SUM(D60:D63)</f>
        <v>5467</v>
      </c>
      <c r="E59" s="4">
        <f>SUM(E60:E63)</f>
        <v>12412</v>
      </c>
      <c r="F59" s="8">
        <f>SUM(F60:F63)</f>
        <v>6019</v>
      </c>
      <c r="G59" s="8">
        <f>SUM(G60:G63)</f>
        <v>6393</v>
      </c>
      <c r="H59" s="20">
        <f>E59/D59</f>
        <v>2.270349368940918</v>
      </c>
      <c r="I59" s="17">
        <v>12288</v>
      </c>
      <c r="J59" s="4">
        <f>SUM(J60:J63)</f>
        <v>124</v>
      </c>
      <c r="K59" s="20">
        <f>J59/(E59-J59)*100</f>
        <v>1.0091145833333335</v>
      </c>
      <c r="L59" s="4">
        <f>E59/1.147</f>
        <v>10821.272885789014</v>
      </c>
    </row>
    <row r="60" spans="1:12" ht="13.5">
      <c r="A60" s="91"/>
      <c r="B60" s="91" t="s">
        <v>13</v>
      </c>
      <c r="C60" s="36"/>
      <c r="D60" s="209">
        <v>2255</v>
      </c>
      <c r="E60" s="31">
        <f>SUM(F60:G60)</f>
        <v>5190</v>
      </c>
      <c r="F60" s="204">
        <v>2504</v>
      </c>
      <c r="G60" s="204">
        <v>2686</v>
      </c>
      <c r="H60" s="54">
        <f>E60/D60</f>
        <v>2.3015521064301554</v>
      </c>
      <c r="I60" s="94">
        <v>5210</v>
      </c>
      <c r="J60" s="31">
        <f>E60-I60</f>
        <v>-20</v>
      </c>
      <c r="K60" s="54">
        <f>J60/(E60-J60)*100</f>
        <v>-0.3838771593090211</v>
      </c>
      <c r="L60" s="31">
        <f>E60/0.331</f>
        <v>15679.7583081571</v>
      </c>
    </row>
    <row r="61" spans="1:12" ht="13.5">
      <c r="A61" s="91"/>
      <c r="B61" s="91" t="s">
        <v>14</v>
      </c>
      <c r="C61" s="36"/>
      <c r="D61" s="209">
        <v>813</v>
      </c>
      <c r="E61" s="31">
        <f>SUM(F61:G61)</f>
        <v>2132</v>
      </c>
      <c r="F61" s="204">
        <v>1034</v>
      </c>
      <c r="G61" s="204">
        <v>1098</v>
      </c>
      <c r="H61" s="54">
        <f>E61/D61</f>
        <v>2.6223862238622386</v>
      </c>
      <c r="I61" s="94">
        <v>2067</v>
      </c>
      <c r="J61" s="31">
        <f>E61-I61</f>
        <v>65</v>
      </c>
      <c r="K61" s="54">
        <f>J61/(E61-J61)*100</f>
        <v>3.1446540880503147</v>
      </c>
      <c r="L61" s="31">
        <f>E61/0.223</f>
        <v>9560.538116591928</v>
      </c>
    </row>
    <row r="62" spans="1:12" ht="13.5">
      <c r="A62" s="91"/>
      <c r="B62" s="91" t="s">
        <v>15</v>
      </c>
      <c r="C62" s="36"/>
      <c r="D62" s="209">
        <v>736</v>
      </c>
      <c r="E62" s="31">
        <f>SUM(F62:G62)</f>
        <v>1864</v>
      </c>
      <c r="F62" s="204">
        <v>933</v>
      </c>
      <c r="G62" s="204">
        <v>931</v>
      </c>
      <c r="H62" s="54">
        <f>E62/D62</f>
        <v>2.532608695652174</v>
      </c>
      <c r="I62" s="94">
        <v>1762</v>
      </c>
      <c r="J62" s="31">
        <f>E62-I62</f>
        <v>102</v>
      </c>
      <c r="K62" s="54">
        <f>J62/(E62-J62)*100</f>
        <v>5.788876276958002</v>
      </c>
      <c r="L62" s="31">
        <f>E62/0.367</f>
        <v>5079.019073569482</v>
      </c>
    </row>
    <row r="63" spans="1:12" ht="13.5">
      <c r="A63" s="91"/>
      <c r="B63" s="91" t="s">
        <v>16</v>
      </c>
      <c r="C63" s="36"/>
      <c r="D63" s="209">
        <v>1663</v>
      </c>
      <c r="E63" s="31">
        <f>SUM(F63:G63)</f>
        <v>3226</v>
      </c>
      <c r="F63" s="204">
        <v>1548</v>
      </c>
      <c r="G63" s="204">
        <v>1678</v>
      </c>
      <c r="H63" s="54">
        <f>E63/D63</f>
        <v>1.9398677089597114</v>
      </c>
      <c r="I63" s="94">
        <v>3249</v>
      </c>
      <c r="J63" s="31">
        <f>E63-I63</f>
        <v>-23</v>
      </c>
      <c r="K63" s="54">
        <f>J63/(E63-J63)*100</f>
        <v>-0.7079101261926747</v>
      </c>
      <c r="L63" s="31">
        <f>E63/0.226</f>
        <v>14274.33628318584</v>
      </c>
    </row>
    <row r="64" spans="1:12" ht="7.5" customHeight="1">
      <c r="A64" s="108"/>
      <c r="B64" s="108"/>
      <c r="C64" s="44"/>
      <c r="D64" s="98"/>
      <c r="E64" s="98"/>
      <c r="F64" s="98"/>
      <c r="G64" s="98"/>
      <c r="H64" s="92"/>
      <c r="I64" s="93"/>
      <c r="J64" s="98"/>
      <c r="K64" s="98"/>
      <c r="L64" s="36"/>
    </row>
    <row r="65" spans="1:12" s="190" customFormat="1" ht="13.5">
      <c r="A65" s="188" t="s">
        <v>260</v>
      </c>
      <c r="B65" s="189"/>
      <c r="C65" s="189"/>
      <c r="D65" s="189"/>
      <c r="E65" s="189"/>
      <c r="F65" s="189"/>
      <c r="G65" s="189"/>
      <c r="H65" s="189"/>
      <c r="I65" s="195"/>
      <c r="J65" s="189"/>
      <c r="K65" s="189"/>
      <c r="L65" s="196"/>
    </row>
    <row r="66" spans="1:11" s="190" customFormat="1" ht="13.5">
      <c r="A66" s="193" t="s">
        <v>328</v>
      </c>
      <c r="B66" s="191"/>
      <c r="C66" s="191"/>
      <c r="D66" s="191"/>
      <c r="E66" s="191"/>
      <c r="F66" s="191"/>
      <c r="G66" s="191"/>
      <c r="H66" s="191"/>
      <c r="I66" s="197"/>
      <c r="J66" s="191"/>
      <c r="K66" s="191"/>
    </row>
    <row r="67" spans="1:12" ht="13.5">
      <c r="A67" s="33"/>
      <c r="B67" s="33"/>
      <c r="C67" s="33"/>
      <c r="D67" s="33"/>
      <c r="E67" s="33"/>
      <c r="F67" s="33"/>
      <c r="G67" s="33"/>
      <c r="H67" s="33"/>
      <c r="I67" s="95"/>
      <c r="J67" s="33"/>
      <c r="K67" s="33"/>
      <c r="L67" s="33"/>
    </row>
  </sheetData>
  <mergeCells count="16">
    <mergeCell ref="A26:B26"/>
    <mergeCell ref="A51:B51"/>
    <mergeCell ref="A59:B59"/>
    <mergeCell ref="A34:B34"/>
    <mergeCell ref="A39:B39"/>
    <mergeCell ref="A44:B44"/>
    <mergeCell ref="A49:B49"/>
    <mergeCell ref="J4:K4"/>
    <mergeCell ref="A4:C5"/>
    <mergeCell ref="A18:B18"/>
    <mergeCell ref="A7:B7"/>
    <mergeCell ref="A9:B9"/>
    <mergeCell ref="A8:B8"/>
    <mergeCell ref="A6:B6"/>
    <mergeCell ref="D4:D5"/>
    <mergeCell ref="E4:G4"/>
  </mergeCells>
  <printOptions/>
  <pageMargins left="0.7874015748031497" right="0.7874015748031497" top="0.7" bottom="0.32" header="0.5118110236220472" footer="0.2"/>
  <pageSetup horizontalDpi="600" verticalDpi="600" orientation="portrait" paperSize="9" r:id="rId1"/>
  <headerFooter alignWithMargins="0">
    <oddHeader>&amp;L&amp;8 32　　　　人　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L60"/>
  <sheetViews>
    <sheetView workbookViewId="0" topLeftCell="A1">
      <selection activeCell="C25" sqref="C25"/>
    </sheetView>
  </sheetViews>
  <sheetFormatPr defaultColWidth="9.00390625" defaultRowHeight="13.5"/>
  <cols>
    <col min="1" max="1" width="3.75390625" style="2" customWidth="1"/>
    <col min="2" max="2" width="7.50390625" style="2" customWidth="1"/>
    <col min="3" max="3" width="1.4921875" style="2" customWidth="1"/>
    <col min="4" max="6" width="9.125" style="2" customWidth="1"/>
    <col min="7" max="8" width="8.75390625" style="2" customWidth="1"/>
    <col min="9" max="9" width="8.75390625" style="23" hidden="1" customWidth="1"/>
    <col min="10" max="10" width="9.125" style="2" bestFit="1" customWidth="1"/>
    <col min="11" max="11" width="9.50390625" style="2" bestFit="1" customWidth="1"/>
    <col min="12" max="12" width="9.125" style="2" customWidth="1"/>
    <col min="13" max="16384" width="9.00390625" style="2" customWidth="1"/>
  </cols>
  <sheetData>
    <row r="1" spans="1:11" ht="13.5" customHeight="1">
      <c r="A1" s="13"/>
      <c r="B1" s="13"/>
      <c r="C1" s="13"/>
      <c r="D1" s="13"/>
      <c r="E1" s="13"/>
      <c r="F1" s="13"/>
      <c r="G1" s="13"/>
      <c r="H1" s="13"/>
      <c r="I1" s="205" t="s">
        <v>256</v>
      </c>
      <c r="J1" s="13"/>
      <c r="K1" s="13"/>
    </row>
    <row r="2" spans="1:12" ht="23.25" customHeight="1">
      <c r="A2" s="18"/>
      <c r="B2" s="18"/>
      <c r="C2" s="18"/>
      <c r="D2" s="18"/>
      <c r="E2" s="18"/>
      <c r="F2" s="18"/>
      <c r="G2" s="18"/>
      <c r="H2" s="18"/>
      <c r="I2" s="24"/>
      <c r="J2" s="18"/>
      <c r="K2" s="18"/>
      <c r="L2" s="18"/>
    </row>
    <row r="3" spans="1:12" ht="14.25" customHeight="1">
      <c r="A3" s="19"/>
      <c r="B3" s="16"/>
      <c r="C3" s="16"/>
      <c r="D3" s="16"/>
      <c r="E3" s="16"/>
      <c r="F3" s="16"/>
      <c r="G3" s="16"/>
      <c r="H3" s="16"/>
      <c r="I3" s="25"/>
      <c r="J3" s="9"/>
      <c r="K3" s="9"/>
      <c r="L3" s="9"/>
    </row>
    <row r="4" spans="1:12" ht="13.5">
      <c r="A4" s="296"/>
      <c r="B4" s="295"/>
      <c r="C4" s="295"/>
      <c r="D4" s="295" t="s">
        <v>5</v>
      </c>
      <c r="E4" s="295" t="s">
        <v>7</v>
      </c>
      <c r="F4" s="295"/>
      <c r="G4" s="295"/>
      <c r="H4" s="102" t="s">
        <v>114</v>
      </c>
      <c r="I4" s="99" t="s">
        <v>255</v>
      </c>
      <c r="J4" s="295" t="s">
        <v>157</v>
      </c>
      <c r="K4" s="295"/>
      <c r="L4" s="104" t="s">
        <v>4</v>
      </c>
    </row>
    <row r="5" spans="1:12" ht="13.5">
      <c r="A5" s="297"/>
      <c r="B5" s="298"/>
      <c r="C5" s="298"/>
      <c r="D5" s="298"/>
      <c r="E5" s="100" t="s">
        <v>8</v>
      </c>
      <c r="F5" s="100" t="s">
        <v>9</v>
      </c>
      <c r="G5" s="100" t="s">
        <v>10</v>
      </c>
      <c r="H5" s="103" t="s">
        <v>2</v>
      </c>
      <c r="I5" s="101"/>
      <c r="J5" s="100" t="s">
        <v>35</v>
      </c>
      <c r="K5" s="100" t="s">
        <v>113</v>
      </c>
      <c r="L5" s="105" t="s">
        <v>186</v>
      </c>
    </row>
    <row r="6" spans="1:12" ht="6" customHeight="1">
      <c r="A6" s="301"/>
      <c r="B6" s="301"/>
      <c r="C6" s="106"/>
      <c r="D6" s="88"/>
      <c r="E6" s="45"/>
      <c r="F6" s="45"/>
      <c r="G6" s="45"/>
      <c r="H6" s="89"/>
      <c r="I6" s="90"/>
      <c r="J6" s="45"/>
      <c r="K6" s="45"/>
      <c r="L6" s="33"/>
    </row>
    <row r="7" spans="1:12" s="210" customFormat="1" ht="13.5">
      <c r="A7" s="299" t="s">
        <v>28</v>
      </c>
      <c r="B7" s="299"/>
      <c r="C7" s="206"/>
      <c r="D7" s="207">
        <f>SUM(D8:D13)</f>
        <v>5883</v>
      </c>
      <c r="E7" s="8">
        <f>SUM(E8:E13)</f>
        <v>13123</v>
      </c>
      <c r="F7" s="8">
        <f>SUM(F8:F13)</f>
        <v>6555</v>
      </c>
      <c r="G7" s="8">
        <f>SUM(G8:G13)</f>
        <v>6568</v>
      </c>
      <c r="H7" s="20">
        <f aca="true" t="shared" si="0" ref="H7:H13">E7/D7</f>
        <v>2.230664626891042</v>
      </c>
      <c r="I7" s="17">
        <v>13181</v>
      </c>
      <c r="J7" s="4">
        <f>SUM(J8:J13)</f>
        <v>-58</v>
      </c>
      <c r="K7" s="20">
        <f aca="true" t="shared" si="1" ref="K7:K13">J7/(E7-J7)*100</f>
        <v>-0.4400273120400576</v>
      </c>
      <c r="L7" s="4">
        <f>E7/1.715</f>
        <v>7651.895043731778</v>
      </c>
    </row>
    <row r="8" spans="1:12" ht="13.5" customHeight="1">
      <c r="A8" s="91"/>
      <c r="B8" s="91" t="s">
        <v>13</v>
      </c>
      <c r="C8" s="36"/>
      <c r="D8" s="209">
        <v>444</v>
      </c>
      <c r="E8" s="31">
        <f aca="true" t="shared" si="2" ref="E8:E13">SUM(F8:G8)</f>
        <v>1036</v>
      </c>
      <c r="F8" s="204">
        <v>542</v>
      </c>
      <c r="G8" s="204">
        <v>494</v>
      </c>
      <c r="H8" s="54">
        <f t="shared" si="0"/>
        <v>2.3333333333333335</v>
      </c>
      <c r="I8" s="94">
        <v>1060</v>
      </c>
      <c r="J8" s="31">
        <f aca="true" t="shared" si="3" ref="J8:J13">E8-I8</f>
        <v>-24</v>
      </c>
      <c r="K8" s="54">
        <f t="shared" si="1"/>
        <v>-2.2641509433962264</v>
      </c>
      <c r="L8" s="31">
        <f>E8/0.201</f>
        <v>5154.228855721392</v>
      </c>
    </row>
    <row r="9" spans="1:12" ht="13.5">
      <c r="A9" s="91"/>
      <c r="B9" s="91" t="s">
        <v>14</v>
      </c>
      <c r="C9" s="36"/>
      <c r="D9" s="209">
        <v>1309</v>
      </c>
      <c r="E9" s="31">
        <f t="shared" si="2"/>
        <v>2988</v>
      </c>
      <c r="F9" s="204">
        <v>1452</v>
      </c>
      <c r="G9" s="204">
        <v>1536</v>
      </c>
      <c r="H9" s="54">
        <f t="shared" si="0"/>
        <v>2.2826585179526355</v>
      </c>
      <c r="I9" s="94">
        <v>3012</v>
      </c>
      <c r="J9" s="31">
        <f t="shared" si="3"/>
        <v>-24</v>
      </c>
      <c r="K9" s="54">
        <f t="shared" si="1"/>
        <v>-0.796812749003984</v>
      </c>
      <c r="L9" s="31">
        <f>E9/0.261</f>
        <v>11448.275862068966</v>
      </c>
    </row>
    <row r="10" spans="1:12" ht="13.5">
      <c r="A10" s="91"/>
      <c r="B10" s="91" t="s">
        <v>15</v>
      </c>
      <c r="C10" s="36"/>
      <c r="D10" s="209">
        <v>567</v>
      </c>
      <c r="E10" s="31">
        <f t="shared" si="2"/>
        <v>1254</v>
      </c>
      <c r="F10" s="204">
        <v>650</v>
      </c>
      <c r="G10" s="204">
        <v>604</v>
      </c>
      <c r="H10" s="54">
        <f t="shared" si="0"/>
        <v>2.2116402116402116</v>
      </c>
      <c r="I10" s="94">
        <v>1247</v>
      </c>
      <c r="J10" s="31">
        <f t="shared" si="3"/>
        <v>7</v>
      </c>
      <c r="K10" s="54">
        <f t="shared" si="1"/>
        <v>0.5613472333600642</v>
      </c>
      <c r="L10" s="31">
        <f>E10/0.152</f>
        <v>8250</v>
      </c>
    </row>
    <row r="11" spans="1:12" ht="13.5">
      <c r="A11" s="91"/>
      <c r="B11" s="91" t="s">
        <v>16</v>
      </c>
      <c r="C11" s="36"/>
      <c r="D11" s="209">
        <v>1670</v>
      </c>
      <c r="E11" s="31">
        <f t="shared" si="2"/>
        <v>3473</v>
      </c>
      <c r="F11" s="204">
        <v>1744</v>
      </c>
      <c r="G11" s="204">
        <v>1729</v>
      </c>
      <c r="H11" s="54">
        <f t="shared" si="0"/>
        <v>2.0796407185628745</v>
      </c>
      <c r="I11" s="94">
        <v>3482</v>
      </c>
      <c r="J11" s="31">
        <f t="shared" si="3"/>
        <v>-9</v>
      </c>
      <c r="K11" s="54">
        <f t="shared" si="1"/>
        <v>-0.2584721424468696</v>
      </c>
      <c r="L11" s="31">
        <f>E11/0.383</f>
        <v>9067.885117493472</v>
      </c>
    </row>
    <row r="12" spans="1:12" ht="13.5">
      <c r="A12" s="91"/>
      <c r="B12" s="91" t="s">
        <v>17</v>
      </c>
      <c r="C12" s="36"/>
      <c r="D12" s="209">
        <v>1318</v>
      </c>
      <c r="E12" s="31">
        <f t="shared" si="2"/>
        <v>3067</v>
      </c>
      <c r="F12" s="204">
        <v>1519</v>
      </c>
      <c r="G12" s="204">
        <v>1548</v>
      </c>
      <c r="H12" s="54">
        <f t="shared" si="0"/>
        <v>2.32701062215478</v>
      </c>
      <c r="I12" s="94">
        <v>3113</v>
      </c>
      <c r="J12" s="31">
        <f t="shared" si="3"/>
        <v>-46</v>
      </c>
      <c r="K12" s="54">
        <f t="shared" si="1"/>
        <v>-1.4776742691937037</v>
      </c>
      <c r="L12" s="31">
        <f>E12/0.487</f>
        <v>6297.741273100616</v>
      </c>
    </row>
    <row r="13" spans="1:12" ht="13.5">
      <c r="A13" s="91"/>
      <c r="B13" s="91" t="s">
        <v>18</v>
      </c>
      <c r="C13" s="36"/>
      <c r="D13" s="209">
        <v>575</v>
      </c>
      <c r="E13" s="31">
        <f t="shared" si="2"/>
        <v>1305</v>
      </c>
      <c r="F13" s="204">
        <v>648</v>
      </c>
      <c r="G13" s="204">
        <v>657</v>
      </c>
      <c r="H13" s="54">
        <f t="shared" si="0"/>
        <v>2.2695652173913046</v>
      </c>
      <c r="I13" s="94">
        <v>1267</v>
      </c>
      <c r="J13" s="31">
        <f t="shared" si="3"/>
        <v>38</v>
      </c>
      <c r="K13" s="54">
        <f t="shared" si="1"/>
        <v>2.999210734017364</v>
      </c>
      <c r="L13" s="31">
        <f>E13/0.231</f>
        <v>5649.350649350649</v>
      </c>
    </row>
    <row r="14" spans="1:12" ht="6" customHeight="1">
      <c r="A14" s="91"/>
      <c r="B14" s="91"/>
      <c r="C14" s="36"/>
      <c r="D14" s="208"/>
      <c r="E14" s="31"/>
      <c r="F14" s="30"/>
      <c r="G14" s="30"/>
      <c r="H14" s="54"/>
      <c r="I14" s="94"/>
      <c r="J14" s="31"/>
      <c r="K14" s="54"/>
      <c r="L14" s="31"/>
    </row>
    <row r="15" spans="1:12" s="210" customFormat="1" ht="13.5">
      <c r="A15" s="299" t="s">
        <v>29</v>
      </c>
      <c r="B15" s="299"/>
      <c r="C15" s="206"/>
      <c r="D15" s="207">
        <f>SUM(D16:D20)</f>
        <v>4125</v>
      </c>
      <c r="E15" s="4">
        <f>SUM(E16:E20)</f>
        <v>8906</v>
      </c>
      <c r="F15" s="8">
        <f>SUM(F16:F20)</f>
        <v>4288</v>
      </c>
      <c r="G15" s="8">
        <f>SUM(G16:G20)</f>
        <v>4618</v>
      </c>
      <c r="H15" s="20">
        <f aca="true" t="shared" si="4" ref="H15:H20">E15/D15</f>
        <v>2.159030303030303</v>
      </c>
      <c r="I15" s="17">
        <v>8842</v>
      </c>
      <c r="J15" s="4">
        <f>SUM(J16:J20)</f>
        <v>64</v>
      </c>
      <c r="K15" s="20">
        <f aca="true" t="shared" si="5" ref="K15:K20">J15/(E15-J15)*100</f>
        <v>0.7238181406921511</v>
      </c>
      <c r="L15" s="4">
        <f>E15/1.154</f>
        <v>7717.504332755633</v>
      </c>
    </row>
    <row r="16" spans="1:12" ht="13.5">
      <c r="A16" s="91"/>
      <c r="B16" s="91" t="s">
        <v>13</v>
      </c>
      <c r="C16" s="36"/>
      <c r="D16" s="209">
        <v>957</v>
      </c>
      <c r="E16" s="31">
        <f>SUM(F16:G16)</f>
        <v>2108</v>
      </c>
      <c r="F16" s="204">
        <v>998</v>
      </c>
      <c r="G16" s="204">
        <v>1110</v>
      </c>
      <c r="H16" s="54">
        <f t="shared" si="4"/>
        <v>2.2027168234064787</v>
      </c>
      <c r="I16" s="94">
        <v>2091</v>
      </c>
      <c r="J16" s="31">
        <f>E16-I16</f>
        <v>17</v>
      </c>
      <c r="K16" s="54">
        <f t="shared" si="5"/>
        <v>0.8130081300813009</v>
      </c>
      <c r="L16" s="31">
        <f>E16/0.209</f>
        <v>10086.124401913876</v>
      </c>
    </row>
    <row r="17" spans="1:12" ht="13.5" customHeight="1">
      <c r="A17" s="91"/>
      <c r="B17" s="91" t="s">
        <v>14</v>
      </c>
      <c r="C17" s="36"/>
      <c r="D17" s="209">
        <v>368</v>
      </c>
      <c r="E17" s="31">
        <f>SUM(F17:G17)</f>
        <v>904</v>
      </c>
      <c r="F17" s="204">
        <v>448</v>
      </c>
      <c r="G17" s="204">
        <v>456</v>
      </c>
      <c r="H17" s="54">
        <f t="shared" si="4"/>
        <v>2.4565217391304346</v>
      </c>
      <c r="I17" s="94">
        <v>900</v>
      </c>
      <c r="J17" s="31">
        <f>E17-I17</f>
        <v>4</v>
      </c>
      <c r="K17" s="54">
        <f t="shared" si="5"/>
        <v>0.4444444444444444</v>
      </c>
      <c r="L17" s="31">
        <f>E17/0.184</f>
        <v>4913.04347826087</v>
      </c>
    </row>
    <row r="18" spans="1:12" ht="13.5">
      <c r="A18" s="91"/>
      <c r="B18" s="91" t="s">
        <v>15</v>
      </c>
      <c r="C18" s="36"/>
      <c r="D18" s="209">
        <v>680</v>
      </c>
      <c r="E18" s="31">
        <f>SUM(F18:G18)</f>
        <v>1454</v>
      </c>
      <c r="F18" s="204">
        <v>764</v>
      </c>
      <c r="G18" s="204">
        <v>690</v>
      </c>
      <c r="H18" s="54">
        <f t="shared" si="4"/>
        <v>2.138235294117647</v>
      </c>
      <c r="I18" s="94">
        <v>1458</v>
      </c>
      <c r="J18" s="31">
        <f>E18-I18</f>
        <v>-4</v>
      </c>
      <c r="K18" s="54">
        <f t="shared" si="5"/>
        <v>-0.2743484224965706</v>
      </c>
      <c r="L18" s="31">
        <f>E18/0.185</f>
        <v>7859.459459459459</v>
      </c>
    </row>
    <row r="19" spans="1:12" ht="13.5">
      <c r="A19" s="91"/>
      <c r="B19" s="91" t="s">
        <v>16</v>
      </c>
      <c r="C19" s="36"/>
      <c r="D19" s="209">
        <v>1813</v>
      </c>
      <c r="E19" s="31">
        <f>SUM(F19:G19)</f>
        <v>3859</v>
      </c>
      <c r="F19" s="204">
        <v>1862</v>
      </c>
      <c r="G19" s="204">
        <v>1997</v>
      </c>
      <c r="H19" s="54">
        <f t="shared" si="4"/>
        <v>2.1285162713734143</v>
      </c>
      <c r="I19" s="94">
        <v>3839</v>
      </c>
      <c r="J19" s="31">
        <f>E19-I19</f>
        <v>20</v>
      </c>
      <c r="K19" s="54">
        <f t="shared" si="5"/>
        <v>0.5209690023443605</v>
      </c>
      <c r="L19" s="31">
        <f>E19/0.434</f>
        <v>8891.705069124424</v>
      </c>
    </row>
    <row r="20" spans="1:12" ht="13.5">
      <c r="A20" s="91"/>
      <c r="B20" s="91" t="s">
        <v>17</v>
      </c>
      <c r="C20" s="36"/>
      <c r="D20" s="209">
        <v>307</v>
      </c>
      <c r="E20" s="31">
        <f>SUM(F20:G20)</f>
        <v>581</v>
      </c>
      <c r="F20" s="204">
        <v>216</v>
      </c>
      <c r="G20" s="204">
        <v>365</v>
      </c>
      <c r="H20" s="54">
        <f t="shared" si="4"/>
        <v>1.8925081433224755</v>
      </c>
      <c r="I20" s="94">
        <v>554</v>
      </c>
      <c r="J20" s="31">
        <f>E20-I20</f>
        <v>27</v>
      </c>
      <c r="K20" s="54">
        <f t="shared" si="5"/>
        <v>4.873646209386282</v>
      </c>
      <c r="L20" s="31">
        <f>E20/0.142</f>
        <v>4091.5492957746483</v>
      </c>
    </row>
    <row r="21" spans="1:12" ht="6" customHeight="1">
      <c r="A21" s="91"/>
      <c r="B21" s="91"/>
      <c r="C21" s="36"/>
      <c r="D21" s="208"/>
      <c r="E21" s="31"/>
      <c r="F21" s="30"/>
      <c r="G21" s="30"/>
      <c r="H21" s="54"/>
      <c r="I21" s="94"/>
      <c r="J21" s="31"/>
      <c r="K21" s="54"/>
      <c r="L21" s="31"/>
    </row>
    <row r="22" spans="1:12" s="210" customFormat="1" ht="13.5" customHeight="1">
      <c r="A22" s="299" t="s">
        <v>116</v>
      </c>
      <c r="B22" s="299"/>
      <c r="C22" s="206"/>
      <c r="D22" s="207">
        <v>531</v>
      </c>
      <c r="E22" s="4">
        <f>SUM(F22:G22)</f>
        <v>1382</v>
      </c>
      <c r="F22" s="211">
        <v>685</v>
      </c>
      <c r="G22" s="211">
        <v>697</v>
      </c>
      <c r="H22" s="20">
        <f>E22/D22</f>
        <v>2.6026365348399247</v>
      </c>
      <c r="I22" s="17">
        <v>1129</v>
      </c>
      <c r="J22" s="4">
        <f>E22-I22</f>
        <v>253</v>
      </c>
      <c r="K22" s="20">
        <f>J22/(E22-J22)*100</f>
        <v>22.40921169176262</v>
      </c>
      <c r="L22" s="4">
        <f>E22/2.26</f>
        <v>611.5044247787611</v>
      </c>
    </row>
    <row r="23" spans="1:12" ht="6" customHeight="1">
      <c r="A23" s="91"/>
      <c r="B23" s="91"/>
      <c r="C23" s="36"/>
      <c r="D23" s="208"/>
      <c r="E23" s="31"/>
      <c r="F23" s="30"/>
      <c r="G23" s="30"/>
      <c r="H23" s="54"/>
      <c r="I23" s="94"/>
      <c r="J23" s="31"/>
      <c r="K23" s="54"/>
      <c r="L23" s="31"/>
    </row>
    <row r="24" spans="1:12" s="210" customFormat="1" ht="13.5">
      <c r="A24" s="299" t="s">
        <v>30</v>
      </c>
      <c r="B24" s="299"/>
      <c r="C24" s="206"/>
      <c r="D24" s="207">
        <f>SUM(D25:D32)</f>
        <v>6505</v>
      </c>
      <c r="E24" s="4">
        <f>SUM(E25:E32)</f>
        <v>15837</v>
      </c>
      <c r="F24" s="8">
        <f>SUM(F25:F32)</f>
        <v>8076</v>
      </c>
      <c r="G24" s="8">
        <f>SUM(G25:G32)</f>
        <v>7761</v>
      </c>
      <c r="H24" s="20">
        <f aca="true" t="shared" si="6" ref="H24:H32">E24/D24</f>
        <v>2.434588777863182</v>
      </c>
      <c r="I24" s="17">
        <v>15638</v>
      </c>
      <c r="J24" s="4">
        <f>SUM(J25:J32)</f>
        <v>199</v>
      </c>
      <c r="K24" s="20">
        <f aca="true" t="shared" si="7" ref="K24:K32">J24/(E24-J24)*100</f>
        <v>1.2725412456835914</v>
      </c>
      <c r="L24" s="4">
        <f>E24/2.08</f>
        <v>7613.942307692308</v>
      </c>
    </row>
    <row r="25" spans="1:12" ht="13.5">
      <c r="A25" s="91"/>
      <c r="B25" s="91" t="s">
        <v>13</v>
      </c>
      <c r="C25" s="36"/>
      <c r="D25" s="209">
        <v>410</v>
      </c>
      <c r="E25" s="31">
        <f aca="true" t="shared" si="8" ref="E25:E32">SUM(F25:G25)</f>
        <v>1028</v>
      </c>
      <c r="F25" s="204">
        <v>527</v>
      </c>
      <c r="G25" s="204">
        <v>501</v>
      </c>
      <c r="H25" s="54">
        <f t="shared" si="6"/>
        <v>2.5073170731707317</v>
      </c>
      <c r="I25" s="94">
        <v>1035</v>
      </c>
      <c r="J25" s="31">
        <f aca="true" t="shared" si="9" ref="J25:J32">E25-I25</f>
        <v>-7</v>
      </c>
      <c r="K25" s="54">
        <f t="shared" si="7"/>
        <v>-0.6763285024154589</v>
      </c>
      <c r="L25" s="31">
        <f>E25/0.258</f>
        <v>3984.4961240310076</v>
      </c>
    </row>
    <row r="26" spans="1:12" ht="13.5">
      <c r="A26" s="91"/>
      <c r="B26" s="91" t="s">
        <v>14</v>
      </c>
      <c r="C26" s="36"/>
      <c r="D26" s="209">
        <v>695</v>
      </c>
      <c r="E26" s="31">
        <f t="shared" si="8"/>
        <v>1841</v>
      </c>
      <c r="F26" s="204">
        <v>915</v>
      </c>
      <c r="G26" s="204">
        <v>926</v>
      </c>
      <c r="H26" s="54">
        <f t="shared" si="6"/>
        <v>2.6489208633093524</v>
      </c>
      <c r="I26" s="94">
        <v>1823</v>
      </c>
      <c r="J26" s="31">
        <f t="shared" si="9"/>
        <v>18</v>
      </c>
      <c r="K26" s="54">
        <f t="shared" si="7"/>
        <v>0.9873834339001646</v>
      </c>
      <c r="L26" s="31">
        <f>E26/0.333</f>
        <v>5528.528528528528</v>
      </c>
    </row>
    <row r="27" spans="1:12" ht="13.5" customHeight="1">
      <c r="A27" s="91"/>
      <c r="B27" s="91" t="s">
        <v>15</v>
      </c>
      <c r="C27" s="36"/>
      <c r="D27" s="209">
        <v>520</v>
      </c>
      <c r="E27" s="31">
        <f t="shared" si="8"/>
        <v>1204</v>
      </c>
      <c r="F27" s="204">
        <v>640</v>
      </c>
      <c r="G27" s="204">
        <v>564</v>
      </c>
      <c r="H27" s="54">
        <f t="shared" si="6"/>
        <v>2.3153846153846156</v>
      </c>
      <c r="I27" s="94">
        <v>1216</v>
      </c>
      <c r="J27" s="31">
        <f t="shared" si="9"/>
        <v>-12</v>
      </c>
      <c r="K27" s="54">
        <f t="shared" si="7"/>
        <v>-0.9868421052631579</v>
      </c>
      <c r="L27" s="31">
        <f>E27/0.228</f>
        <v>5280.701754385965</v>
      </c>
    </row>
    <row r="28" spans="1:12" ht="13.5">
      <c r="A28" s="91"/>
      <c r="B28" s="91" t="s">
        <v>16</v>
      </c>
      <c r="C28" s="36"/>
      <c r="D28" s="209">
        <v>958</v>
      </c>
      <c r="E28" s="31">
        <f t="shared" si="8"/>
        <v>2452</v>
      </c>
      <c r="F28" s="204">
        <v>1282</v>
      </c>
      <c r="G28" s="204">
        <v>1170</v>
      </c>
      <c r="H28" s="54">
        <f t="shared" si="6"/>
        <v>2.559498956158664</v>
      </c>
      <c r="I28" s="94">
        <v>2392</v>
      </c>
      <c r="J28" s="31">
        <f t="shared" si="9"/>
        <v>60</v>
      </c>
      <c r="K28" s="54">
        <f t="shared" si="7"/>
        <v>2.508361204013378</v>
      </c>
      <c r="L28" s="31">
        <f>E28/0.269</f>
        <v>9115.241635687731</v>
      </c>
    </row>
    <row r="29" spans="1:12" ht="13.5">
      <c r="A29" s="91"/>
      <c r="B29" s="91" t="s">
        <v>17</v>
      </c>
      <c r="C29" s="36"/>
      <c r="D29" s="209">
        <v>337</v>
      </c>
      <c r="E29" s="31">
        <f t="shared" si="8"/>
        <v>769</v>
      </c>
      <c r="F29" s="204">
        <v>384</v>
      </c>
      <c r="G29" s="204">
        <v>385</v>
      </c>
      <c r="H29" s="54">
        <f t="shared" si="6"/>
        <v>2.2818991097922847</v>
      </c>
      <c r="I29" s="94">
        <v>763</v>
      </c>
      <c r="J29" s="31">
        <f t="shared" si="9"/>
        <v>6</v>
      </c>
      <c r="K29" s="54">
        <f t="shared" si="7"/>
        <v>0.7863695937090431</v>
      </c>
      <c r="L29" s="31">
        <f>E29/0.201</f>
        <v>3825.870646766169</v>
      </c>
    </row>
    <row r="30" spans="1:12" ht="13.5">
      <c r="A30" s="91"/>
      <c r="B30" s="91" t="s">
        <v>18</v>
      </c>
      <c r="C30" s="36"/>
      <c r="D30" s="209">
        <v>777</v>
      </c>
      <c r="E30" s="31">
        <f t="shared" si="8"/>
        <v>1860</v>
      </c>
      <c r="F30" s="204">
        <v>936</v>
      </c>
      <c r="G30" s="204">
        <v>924</v>
      </c>
      <c r="H30" s="54">
        <f t="shared" si="6"/>
        <v>2.393822393822394</v>
      </c>
      <c r="I30" s="94">
        <v>1820</v>
      </c>
      <c r="J30" s="31">
        <f t="shared" si="9"/>
        <v>40</v>
      </c>
      <c r="K30" s="54">
        <f t="shared" si="7"/>
        <v>2.197802197802198</v>
      </c>
      <c r="L30" s="31">
        <f>E30/0.225</f>
        <v>8266.666666666666</v>
      </c>
    </row>
    <row r="31" spans="1:12" ht="13.5">
      <c r="A31" s="91"/>
      <c r="B31" s="91" t="s">
        <v>19</v>
      </c>
      <c r="C31" s="36"/>
      <c r="D31" s="209">
        <v>1157</v>
      </c>
      <c r="E31" s="31">
        <f t="shared" si="8"/>
        <v>2773</v>
      </c>
      <c r="F31" s="204">
        <v>1382</v>
      </c>
      <c r="G31" s="204">
        <v>1391</v>
      </c>
      <c r="H31" s="54">
        <f t="shared" si="6"/>
        <v>2.396715643906655</v>
      </c>
      <c r="I31" s="94">
        <v>2719</v>
      </c>
      <c r="J31" s="31">
        <f t="shared" si="9"/>
        <v>54</v>
      </c>
      <c r="K31" s="54">
        <f t="shared" si="7"/>
        <v>1.986024273630011</v>
      </c>
      <c r="L31" s="31">
        <f>E31/0.228</f>
        <v>12162.280701754386</v>
      </c>
    </row>
    <row r="32" spans="1:12" ht="13.5">
      <c r="A32" s="91"/>
      <c r="B32" s="91" t="s">
        <v>31</v>
      </c>
      <c r="C32" s="36"/>
      <c r="D32" s="209">
        <v>1651</v>
      </c>
      <c r="E32" s="31">
        <f t="shared" si="8"/>
        <v>3910</v>
      </c>
      <c r="F32" s="204">
        <v>2010</v>
      </c>
      <c r="G32" s="204">
        <v>1900</v>
      </c>
      <c r="H32" s="54">
        <f t="shared" si="6"/>
        <v>2.3682616596002424</v>
      </c>
      <c r="I32" s="94">
        <v>3870</v>
      </c>
      <c r="J32" s="31">
        <f t="shared" si="9"/>
        <v>40</v>
      </c>
      <c r="K32" s="54">
        <f t="shared" si="7"/>
        <v>1.03359173126615</v>
      </c>
      <c r="L32" s="31">
        <f>E32/0.338</f>
        <v>11568.047337278105</v>
      </c>
    </row>
    <row r="33" spans="1:12" ht="6" customHeight="1">
      <c r="A33" s="91"/>
      <c r="B33" s="91"/>
      <c r="C33" s="36"/>
      <c r="D33" s="208"/>
      <c r="E33" s="31"/>
      <c r="F33" s="30"/>
      <c r="G33" s="30"/>
      <c r="H33" s="54"/>
      <c r="I33" s="94"/>
      <c r="J33" s="31"/>
      <c r="K33" s="54"/>
      <c r="L33" s="31"/>
    </row>
    <row r="34" spans="1:12" s="210" customFormat="1" ht="13.5">
      <c r="A34" s="299" t="s">
        <v>32</v>
      </c>
      <c r="B34" s="299"/>
      <c r="C34" s="206"/>
      <c r="D34" s="207">
        <f>SUM(D35:D41)</f>
        <v>4521</v>
      </c>
      <c r="E34" s="8">
        <f>SUM(E35:E41)</f>
        <v>10517</v>
      </c>
      <c r="F34" s="8">
        <f>SUM(F35:F41)</f>
        <v>5090</v>
      </c>
      <c r="G34" s="8">
        <f>SUM(G35:G41)</f>
        <v>5427</v>
      </c>
      <c r="H34" s="20">
        <f aca="true" t="shared" si="10" ref="H34:H39">E34/D34</f>
        <v>2.3262552532625524</v>
      </c>
      <c r="I34" s="17">
        <v>10585</v>
      </c>
      <c r="J34" s="4">
        <f>SUM(J35:J40)</f>
        <v>-68</v>
      </c>
      <c r="K34" s="20">
        <f aca="true" t="shared" si="11" ref="K34:K39">J34/(E34-J34)*100</f>
        <v>-0.6424185167690127</v>
      </c>
      <c r="L34" s="4">
        <f>E34/1.82</f>
        <v>5778.571428571428</v>
      </c>
    </row>
    <row r="35" spans="1:12" ht="13.5" customHeight="1">
      <c r="A35" s="91"/>
      <c r="B35" s="91" t="s">
        <v>13</v>
      </c>
      <c r="C35" s="36"/>
      <c r="D35" s="209">
        <v>1425</v>
      </c>
      <c r="E35" s="31">
        <f>SUM(F35:G35)</f>
        <v>3247</v>
      </c>
      <c r="F35" s="204">
        <v>1415</v>
      </c>
      <c r="G35" s="204">
        <v>1832</v>
      </c>
      <c r="H35" s="54">
        <f t="shared" si="10"/>
        <v>2.27859649122807</v>
      </c>
      <c r="I35" s="94">
        <v>3246</v>
      </c>
      <c r="J35" s="31">
        <f>E35-I35</f>
        <v>1</v>
      </c>
      <c r="K35" s="54">
        <f t="shared" si="11"/>
        <v>0.030807147258163897</v>
      </c>
      <c r="L35" s="31">
        <f>E35/0.253</f>
        <v>12833.99209486166</v>
      </c>
    </row>
    <row r="36" spans="1:12" ht="13.5">
      <c r="A36" s="91"/>
      <c r="B36" s="91" t="s">
        <v>14</v>
      </c>
      <c r="C36" s="36"/>
      <c r="D36" s="209">
        <v>323</v>
      </c>
      <c r="E36" s="31">
        <f>SUM(F36:G36)</f>
        <v>788</v>
      </c>
      <c r="F36" s="204">
        <v>411</v>
      </c>
      <c r="G36" s="204">
        <v>377</v>
      </c>
      <c r="H36" s="54">
        <f t="shared" si="10"/>
        <v>2.4396284829721364</v>
      </c>
      <c r="I36" s="94">
        <v>782</v>
      </c>
      <c r="J36" s="31">
        <f>E36-I36</f>
        <v>6</v>
      </c>
      <c r="K36" s="54">
        <f t="shared" si="11"/>
        <v>0.7672634271099744</v>
      </c>
      <c r="L36" s="31">
        <f>E36/0.188</f>
        <v>4191.489361702128</v>
      </c>
    </row>
    <row r="37" spans="1:12" ht="13.5">
      <c r="A37" s="91"/>
      <c r="B37" s="91" t="s">
        <v>15</v>
      </c>
      <c r="C37" s="36"/>
      <c r="D37" s="209">
        <v>573</v>
      </c>
      <c r="E37" s="31">
        <f>SUM(F37:G37)</f>
        <v>1423</v>
      </c>
      <c r="F37" s="204">
        <v>732</v>
      </c>
      <c r="G37" s="204">
        <v>691</v>
      </c>
      <c r="H37" s="54">
        <f t="shared" si="10"/>
        <v>2.4834205933682374</v>
      </c>
      <c r="I37" s="94">
        <v>1444</v>
      </c>
      <c r="J37" s="31">
        <f>E37-I37</f>
        <v>-21</v>
      </c>
      <c r="K37" s="54">
        <f t="shared" si="11"/>
        <v>-1.4542936288088644</v>
      </c>
      <c r="L37" s="31">
        <f>E37/0.283</f>
        <v>5028.26855123675</v>
      </c>
    </row>
    <row r="38" spans="1:12" ht="13.5">
      <c r="A38" s="91"/>
      <c r="B38" s="91" t="s">
        <v>16</v>
      </c>
      <c r="C38" s="36"/>
      <c r="D38" s="209">
        <v>334</v>
      </c>
      <c r="E38" s="31">
        <f>SUM(F38:G38)</f>
        <v>806</v>
      </c>
      <c r="F38" s="204">
        <v>403</v>
      </c>
      <c r="G38" s="204">
        <v>403</v>
      </c>
      <c r="H38" s="54">
        <f t="shared" si="10"/>
        <v>2.413173652694611</v>
      </c>
      <c r="I38" s="94">
        <v>814</v>
      </c>
      <c r="J38" s="31">
        <f>E38-I38</f>
        <v>-8</v>
      </c>
      <c r="K38" s="54">
        <f t="shared" si="11"/>
        <v>-0.9828009828009828</v>
      </c>
      <c r="L38" s="31">
        <f>E38/0.23</f>
        <v>3504.3478260869565</v>
      </c>
    </row>
    <row r="39" spans="1:12" ht="13.5">
      <c r="A39" s="91"/>
      <c r="B39" s="91" t="s">
        <v>17</v>
      </c>
      <c r="C39" s="36"/>
      <c r="D39" s="209">
        <v>1866</v>
      </c>
      <c r="E39" s="31">
        <f>SUM(F39:G39)</f>
        <v>4253</v>
      </c>
      <c r="F39" s="204">
        <v>2129</v>
      </c>
      <c r="G39" s="204">
        <v>2124</v>
      </c>
      <c r="H39" s="54">
        <f t="shared" si="10"/>
        <v>2.2792068595927115</v>
      </c>
      <c r="I39" s="94">
        <v>4299</v>
      </c>
      <c r="J39" s="31">
        <f>E39-I39</f>
        <v>-46</v>
      </c>
      <c r="K39" s="54">
        <f t="shared" si="11"/>
        <v>-1.070016282856478</v>
      </c>
      <c r="L39" s="31">
        <f>E39/0.378</f>
        <v>11251.322751322752</v>
      </c>
    </row>
    <row r="40" spans="1:12" ht="13.5" customHeight="1">
      <c r="A40" s="91"/>
      <c r="B40" s="91" t="s">
        <v>18</v>
      </c>
      <c r="C40" s="36"/>
      <c r="D40" s="208" t="s">
        <v>337</v>
      </c>
      <c r="E40" s="31" t="s">
        <v>282</v>
      </c>
      <c r="F40" s="30" t="s">
        <v>337</v>
      </c>
      <c r="G40" s="30" t="s">
        <v>337</v>
      </c>
      <c r="H40" s="31" t="s">
        <v>282</v>
      </c>
      <c r="I40" s="94"/>
      <c r="J40" s="31" t="s">
        <v>282</v>
      </c>
      <c r="K40" s="31" t="s">
        <v>282</v>
      </c>
      <c r="L40" s="31" t="s">
        <v>282</v>
      </c>
    </row>
    <row r="41" spans="1:12" ht="13.5">
      <c r="A41" s="91"/>
      <c r="B41" s="91" t="s">
        <v>19</v>
      </c>
      <c r="C41" s="36"/>
      <c r="D41" s="208" t="s">
        <v>337</v>
      </c>
      <c r="E41" s="31" t="s">
        <v>282</v>
      </c>
      <c r="F41" s="30" t="s">
        <v>337</v>
      </c>
      <c r="G41" s="30" t="s">
        <v>337</v>
      </c>
      <c r="H41" s="31" t="s">
        <v>282</v>
      </c>
      <c r="I41" s="94"/>
      <c r="J41" s="31" t="s">
        <v>282</v>
      </c>
      <c r="K41" s="31" t="s">
        <v>282</v>
      </c>
      <c r="L41" s="31" t="s">
        <v>282</v>
      </c>
    </row>
    <row r="42" spans="1:12" ht="6" customHeight="1">
      <c r="A42" s="91"/>
      <c r="B42" s="91"/>
      <c r="C42" s="36"/>
      <c r="D42" s="208"/>
      <c r="E42" s="31"/>
      <c r="F42" s="30"/>
      <c r="G42" s="30"/>
      <c r="H42" s="54"/>
      <c r="I42" s="94"/>
      <c r="J42" s="31"/>
      <c r="K42" s="54"/>
      <c r="L42" s="31"/>
    </row>
    <row r="43" spans="1:12" s="210" customFormat="1" ht="13.5">
      <c r="A43" s="299" t="s">
        <v>33</v>
      </c>
      <c r="B43" s="299"/>
      <c r="C43" s="206"/>
      <c r="D43" s="207">
        <f>SUM(D44:D49)</f>
        <v>5804</v>
      </c>
      <c r="E43" s="4">
        <f>SUM(E44:E49)</f>
        <v>13513</v>
      </c>
      <c r="F43" s="8">
        <f>SUM(F44:F49)</f>
        <v>6820</v>
      </c>
      <c r="G43" s="8">
        <f>SUM(G44:G49)</f>
        <v>6693</v>
      </c>
      <c r="H43" s="20">
        <f aca="true" t="shared" si="12" ref="H43:H49">E43/D43</f>
        <v>2.328221915920055</v>
      </c>
      <c r="I43" s="17">
        <v>13419</v>
      </c>
      <c r="J43" s="4">
        <f>SUM(J44:J49)</f>
        <v>94</v>
      </c>
      <c r="K43" s="20">
        <f aca="true" t="shared" si="13" ref="K43:K49">J43/(E43-J43)*100</f>
        <v>0.7004992920485879</v>
      </c>
      <c r="L43" s="4">
        <f>E43/1.465</f>
        <v>9223.890784982934</v>
      </c>
    </row>
    <row r="44" spans="1:12" ht="13.5">
      <c r="A44" s="91"/>
      <c r="B44" s="91" t="s">
        <v>13</v>
      </c>
      <c r="C44" s="36"/>
      <c r="D44" s="209">
        <v>1009</v>
      </c>
      <c r="E44" s="31">
        <f aca="true" t="shared" si="14" ref="E44:E49">SUM(F44:G44)</f>
        <v>2422</v>
      </c>
      <c r="F44" s="204">
        <v>1282</v>
      </c>
      <c r="G44" s="204">
        <v>1140</v>
      </c>
      <c r="H44" s="54">
        <f t="shared" si="12"/>
        <v>2.400396432111001</v>
      </c>
      <c r="I44" s="94">
        <v>2424</v>
      </c>
      <c r="J44" s="31">
        <f aca="true" t="shared" si="15" ref="J44:J49">E44-I44</f>
        <v>-2</v>
      </c>
      <c r="K44" s="54">
        <f t="shared" si="13"/>
        <v>-0.08250825082508251</v>
      </c>
      <c r="L44" s="31">
        <f>E44/0.27</f>
        <v>8970.37037037037</v>
      </c>
    </row>
    <row r="45" spans="1:12" ht="13.5" customHeight="1">
      <c r="A45" s="91"/>
      <c r="B45" s="91" t="s">
        <v>14</v>
      </c>
      <c r="C45" s="36"/>
      <c r="D45" s="209">
        <v>787</v>
      </c>
      <c r="E45" s="31">
        <f t="shared" si="14"/>
        <v>1893</v>
      </c>
      <c r="F45" s="204">
        <v>961</v>
      </c>
      <c r="G45" s="204">
        <v>932</v>
      </c>
      <c r="H45" s="54">
        <f t="shared" si="12"/>
        <v>2.4053367217280814</v>
      </c>
      <c r="I45" s="94">
        <v>1872</v>
      </c>
      <c r="J45" s="31">
        <f t="shared" si="15"/>
        <v>21</v>
      </c>
      <c r="K45" s="54">
        <f t="shared" si="13"/>
        <v>1.1217948717948718</v>
      </c>
      <c r="L45" s="31">
        <f>E45/0.285</f>
        <v>6642.105263157895</v>
      </c>
    </row>
    <row r="46" spans="1:12" ht="13.5">
      <c r="A46" s="91"/>
      <c r="B46" s="91" t="s">
        <v>15</v>
      </c>
      <c r="C46" s="36"/>
      <c r="D46" s="209">
        <v>372</v>
      </c>
      <c r="E46" s="31">
        <f t="shared" si="14"/>
        <v>939</v>
      </c>
      <c r="F46" s="204">
        <v>471</v>
      </c>
      <c r="G46" s="204">
        <v>468</v>
      </c>
      <c r="H46" s="54">
        <f t="shared" si="12"/>
        <v>2.524193548387097</v>
      </c>
      <c r="I46" s="94">
        <v>878</v>
      </c>
      <c r="J46" s="31">
        <f t="shared" si="15"/>
        <v>61</v>
      </c>
      <c r="K46" s="54">
        <f t="shared" si="13"/>
        <v>6.947608200455581</v>
      </c>
      <c r="L46" s="31">
        <f>E46/0.171</f>
        <v>5491.228070175438</v>
      </c>
    </row>
    <row r="47" spans="1:12" ht="13.5">
      <c r="A47" s="91"/>
      <c r="B47" s="91" t="s">
        <v>16</v>
      </c>
      <c r="C47" s="36"/>
      <c r="D47" s="209">
        <v>901</v>
      </c>
      <c r="E47" s="31">
        <f t="shared" si="14"/>
        <v>2044</v>
      </c>
      <c r="F47" s="204">
        <v>1068</v>
      </c>
      <c r="G47" s="204">
        <v>976</v>
      </c>
      <c r="H47" s="54">
        <f t="shared" si="12"/>
        <v>2.2685904550499445</v>
      </c>
      <c r="I47" s="94">
        <v>2008</v>
      </c>
      <c r="J47" s="31">
        <f t="shared" si="15"/>
        <v>36</v>
      </c>
      <c r="K47" s="54">
        <f t="shared" si="13"/>
        <v>1.7928286852589643</v>
      </c>
      <c r="L47" s="31">
        <f>E47/0.328</f>
        <v>6231.70731707317</v>
      </c>
    </row>
    <row r="48" spans="1:12" ht="13.5">
      <c r="A48" s="91"/>
      <c r="B48" s="91" t="s">
        <v>17</v>
      </c>
      <c r="C48" s="36"/>
      <c r="D48" s="209">
        <v>1393</v>
      </c>
      <c r="E48" s="31">
        <f t="shared" si="14"/>
        <v>2685</v>
      </c>
      <c r="F48" s="204">
        <v>1286</v>
      </c>
      <c r="G48" s="204">
        <v>1399</v>
      </c>
      <c r="H48" s="54">
        <f t="shared" si="12"/>
        <v>1.927494615936827</v>
      </c>
      <c r="I48" s="94">
        <v>2716</v>
      </c>
      <c r="J48" s="31">
        <f t="shared" si="15"/>
        <v>-31</v>
      </c>
      <c r="K48" s="54">
        <f t="shared" si="13"/>
        <v>-1.1413843888070692</v>
      </c>
      <c r="L48" s="31">
        <f>E48/0.145</f>
        <v>18517.241379310348</v>
      </c>
    </row>
    <row r="49" spans="1:12" ht="13.5">
      <c r="A49" s="91"/>
      <c r="B49" s="91" t="s">
        <v>18</v>
      </c>
      <c r="C49" s="36"/>
      <c r="D49" s="209">
        <v>1342</v>
      </c>
      <c r="E49" s="31">
        <f t="shared" si="14"/>
        <v>3530</v>
      </c>
      <c r="F49" s="204">
        <v>1752</v>
      </c>
      <c r="G49" s="204">
        <v>1778</v>
      </c>
      <c r="H49" s="54">
        <f t="shared" si="12"/>
        <v>2.630402384500745</v>
      </c>
      <c r="I49" s="94">
        <v>3521</v>
      </c>
      <c r="J49" s="31">
        <f t="shared" si="15"/>
        <v>9</v>
      </c>
      <c r="K49" s="54">
        <f t="shared" si="13"/>
        <v>0.2556092019312695</v>
      </c>
      <c r="L49" s="31">
        <f>E49/0.266</f>
        <v>13270.676691729323</v>
      </c>
    </row>
    <row r="50" spans="1:12" ht="6" customHeight="1">
      <c r="A50" s="91"/>
      <c r="B50" s="91"/>
      <c r="C50" s="36"/>
      <c r="D50" s="208"/>
      <c r="E50" s="31"/>
      <c r="F50" s="30"/>
      <c r="G50" s="30"/>
      <c r="H50" s="54"/>
      <c r="I50" s="94"/>
      <c r="J50" s="31"/>
      <c r="K50" s="54"/>
      <c r="L50" s="31"/>
    </row>
    <row r="51" spans="1:12" s="210" customFormat="1" ht="13.5">
      <c r="A51" s="299" t="s">
        <v>34</v>
      </c>
      <c r="B51" s="299"/>
      <c r="C51" s="206"/>
      <c r="D51" s="207">
        <f>SUM(D52:D58)</f>
        <v>3088</v>
      </c>
      <c r="E51" s="4">
        <f>SUM(E52:E58)</f>
        <v>7941</v>
      </c>
      <c r="F51" s="8">
        <f>SUM(F52:F58)</f>
        <v>4002</v>
      </c>
      <c r="G51" s="8">
        <f>SUM(G52:G58)</f>
        <v>3939</v>
      </c>
      <c r="H51" s="20">
        <f aca="true" t="shared" si="16" ref="H51:H58">E51/D51</f>
        <v>2.5715673575129534</v>
      </c>
      <c r="I51" s="17">
        <v>7925</v>
      </c>
      <c r="J51" s="4">
        <f>SUM(J52:J58)</f>
        <v>16</v>
      </c>
      <c r="K51" s="20">
        <f aca="true" t="shared" si="17" ref="K51:K58">J51/(E51-J51)*100</f>
        <v>0.2018927444794953</v>
      </c>
      <c r="L51" s="4">
        <f>E51/2.427</f>
        <v>3271.940667490729</v>
      </c>
    </row>
    <row r="52" spans="1:12" ht="13.5" customHeight="1">
      <c r="A52" s="91"/>
      <c r="B52" s="91" t="s">
        <v>13</v>
      </c>
      <c r="C52" s="36"/>
      <c r="D52" s="209">
        <v>427</v>
      </c>
      <c r="E52" s="31">
        <f aca="true" t="shared" si="18" ref="E52:E58">SUM(F52:G52)</f>
        <v>1069</v>
      </c>
      <c r="F52" s="204">
        <v>548</v>
      </c>
      <c r="G52" s="204">
        <v>521</v>
      </c>
      <c r="H52" s="54">
        <f t="shared" si="16"/>
        <v>2.503512880562061</v>
      </c>
      <c r="I52" s="94">
        <v>1041</v>
      </c>
      <c r="J52" s="31">
        <f aca="true" t="shared" si="19" ref="J52:J58">E52-I52</f>
        <v>28</v>
      </c>
      <c r="K52" s="54">
        <f t="shared" si="17"/>
        <v>2.689721421709894</v>
      </c>
      <c r="L52" s="31">
        <f>E52/0.358</f>
        <v>2986.033519553073</v>
      </c>
    </row>
    <row r="53" spans="1:12" ht="13.5">
      <c r="A53" s="91"/>
      <c r="B53" s="91" t="s">
        <v>14</v>
      </c>
      <c r="C53" s="36"/>
      <c r="D53" s="209">
        <v>773</v>
      </c>
      <c r="E53" s="31">
        <f t="shared" si="18"/>
        <v>2043</v>
      </c>
      <c r="F53" s="204">
        <v>1011</v>
      </c>
      <c r="G53" s="204">
        <v>1032</v>
      </c>
      <c r="H53" s="54">
        <f t="shared" si="16"/>
        <v>2.642949547218629</v>
      </c>
      <c r="I53" s="94">
        <v>2054</v>
      </c>
      <c r="J53" s="31">
        <f t="shared" si="19"/>
        <v>-11</v>
      </c>
      <c r="K53" s="54">
        <f t="shared" si="17"/>
        <v>-0.5355404089581305</v>
      </c>
      <c r="L53" s="31">
        <f>E53/0.343</f>
        <v>5956.268221574343</v>
      </c>
    </row>
    <row r="54" spans="1:12" ht="13.5">
      <c r="A54" s="91"/>
      <c r="B54" s="91" t="s">
        <v>15</v>
      </c>
      <c r="C54" s="36"/>
      <c r="D54" s="209">
        <v>321</v>
      </c>
      <c r="E54" s="31">
        <f t="shared" si="18"/>
        <v>847</v>
      </c>
      <c r="F54" s="204">
        <v>440</v>
      </c>
      <c r="G54" s="204">
        <v>407</v>
      </c>
      <c r="H54" s="54">
        <f t="shared" si="16"/>
        <v>2.6386292834890965</v>
      </c>
      <c r="I54" s="94">
        <v>867</v>
      </c>
      <c r="J54" s="31">
        <f t="shared" si="19"/>
        <v>-20</v>
      </c>
      <c r="K54" s="54">
        <f t="shared" si="17"/>
        <v>-2.306805074971165</v>
      </c>
      <c r="L54" s="31">
        <f>E54/0.336</f>
        <v>2520.833333333333</v>
      </c>
    </row>
    <row r="55" spans="1:12" ht="13.5">
      <c r="A55" s="91"/>
      <c r="B55" s="91" t="s">
        <v>16</v>
      </c>
      <c r="C55" s="36"/>
      <c r="D55" s="209">
        <v>213</v>
      </c>
      <c r="E55" s="31">
        <f t="shared" si="18"/>
        <v>554</v>
      </c>
      <c r="F55" s="204">
        <v>283</v>
      </c>
      <c r="G55" s="204">
        <v>271</v>
      </c>
      <c r="H55" s="54">
        <f t="shared" si="16"/>
        <v>2.60093896713615</v>
      </c>
      <c r="I55" s="94">
        <v>556</v>
      </c>
      <c r="J55" s="31">
        <f t="shared" si="19"/>
        <v>-2</v>
      </c>
      <c r="K55" s="54">
        <f t="shared" si="17"/>
        <v>-0.3597122302158274</v>
      </c>
      <c r="L55" s="31">
        <f>E55/0.445</f>
        <v>1244.943820224719</v>
      </c>
    </row>
    <row r="56" spans="1:12" ht="13.5">
      <c r="A56" s="91"/>
      <c r="B56" s="91" t="s">
        <v>17</v>
      </c>
      <c r="C56" s="36"/>
      <c r="D56" s="209">
        <v>927</v>
      </c>
      <c r="E56" s="31">
        <f t="shared" si="18"/>
        <v>2325</v>
      </c>
      <c r="F56" s="204">
        <v>1170</v>
      </c>
      <c r="G56" s="204">
        <v>1155</v>
      </c>
      <c r="H56" s="54">
        <f t="shared" si="16"/>
        <v>2.5080906148867315</v>
      </c>
      <c r="I56" s="94">
        <v>2302</v>
      </c>
      <c r="J56" s="31">
        <f t="shared" si="19"/>
        <v>23</v>
      </c>
      <c r="K56" s="54">
        <f t="shared" si="17"/>
        <v>0.999131190269331</v>
      </c>
      <c r="L56" s="31">
        <f>E56/0.365</f>
        <v>6369.86301369863</v>
      </c>
    </row>
    <row r="57" spans="1:12" ht="13.5">
      <c r="A57" s="91"/>
      <c r="B57" s="91" t="s">
        <v>18</v>
      </c>
      <c r="C57" s="36"/>
      <c r="D57" s="209">
        <v>413</v>
      </c>
      <c r="E57" s="31">
        <f t="shared" si="18"/>
        <v>1069</v>
      </c>
      <c r="F57" s="204">
        <v>538</v>
      </c>
      <c r="G57" s="204">
        <v>531</v>
      </c>
      <c r="H57" s="54">
        <f t="shared" si="16"/>
        <v>2.5883777239709445</v>
      </c>
      <c r="I57" s="94">
        <v>1051</v>
      </c>
      <c r="J57" s="31">
        <f t="shared" si="19"/>
        <v>18</v>
      </c>
      <c r="K57" s="54">
        <f t="shared" si="17"/>
        <v>1.7126546146527115</v>
      </c>
      <c r="L57" s="31">
        <f>E57/0.397</f>
        <v>2692.695214105793</v>
      </c>
    </row>
    <row r="58" spans="1:12" ht="13.5">
      <c r="A58" s="91"/>
      <c r="B58" s="91" t="s">
        <v>19</v>
      </c>
      <c r="C58" s="36"/>
      <c r="D58" s="209">
        <v>14</v>
      </c>
      <c r="E58" s="31">
        <f t="shared" si="18"/>
        <v>34</v>
      </c>
      <c r="F58" s="204">
        <v>12</v>
      </c>
      <c r="G58" s="204">
        <v>22</v>
      </c>
      <c r="H58" s="54">
        <f t="shared" si="16"/>
        <v>2.4285714285714284</v>
      </c>
      <c r="I58" s="94">
        <v>54</v>
      </c>
      <c r="J58" s="31">
        <f t="shared" si="19"/>
        <v>-20</v>
      </c>
      <c r="K58" s="54">
        <f t="shared" si="17"/>
        <v>-37.03703703703704</v>
      </c>
      <c r="L58" s="31">
        <f>E58/0.183</f>
        <v>185.79234972677597</v>
      </c>
    </row>
    <row r="59" spans="1:12" ht="6" customHeight="1">
      <c r="A59" s="108"/>
      <c r="B59" s="108"/>
      <c r="C59" s="44"/>
      <c r="D59" s="86"/>
      <c r="E59" s="87"/>
      <c r="F59" s="87"/>
      <c r="G59" s="87"/>
      <c r="H59" s="87"/>
      <c r="I59" s="115"/>
      <c r="J59" s="87"/>
      <c r="K59" s="87"/>
      <c r="L59" s="87"/>
    </row>
    <row r="60" spans="1:12" ht="13.5">
      <c r="A60" s="36"/>
      <c r="B60" s="36"/>
      <c r="C60" s="36"/>
      <c r="D60" s="36"/>
      <c r="E60" s="36"/>
      <c r="F60" s="36"/>
      <c r="G60" s="36"/>
      <c r="H60" s="36"/>
      <c r="I60" s="114"/>
      <c r="J60" s="36"/>
      <c r="K60" s="36"/>
      <c r="L60" s="33"/>
    </row>
    <row r="64" ht="7.5" customHeight="1"/>
    <row r="69" ht="22.5" customHeight="1"/>
    <row r="73" ht="6" customHeight="1"/>
    <row r="74" ht="13.5" customHeight="1"/>
    <row r="81" ht="6" customHeight="1"/>
    <row r="82" ht="13.5" customHeight="1"/>
    <row r="88" ht="6" customHeight="1"/>
    <row r="89" ht="13.5" customHeight="1"/>
    <row r="98" ht="6" customHeight="1"/>
    <row r="99" ht="13.5" customHeight="1"/>
    <row r="107" ht="6" customHeight="1"/>
    <row r="108" ht="13.5" customHeight="1"/>
    <row r="115" ht="6" customHeight="1"/>
    <row r="116" ht="13.5" customHeight="1"/>
    <row r="124" ht="6" customHeight="1"/>
    <row r="125" ht="13.5" customHeight="1"/>
    <row r="126" ht="6" customHeight="1"/>
  </sheetData>
  <mergeCells count="12">
    <mergeCell ref="A34:B34"/>
    <mergeCell ref="A43:B43"/>
    <mergeCell ref="A51:B51"/>
    <mergeCell ref="A22:B22"/>
    <mergeCell ref="A6:B6"/>
    <mergeCell ref="A7:B7"/>
    <mergeCell ref="A15:B15"/>
    <mergeCell ref="A24:B24"/>
    <mergeCell ref="A4:C5"/>
    <mergeCell ref="D4:D5"/>
    <mergeCell ref="E4:G4"/>
    <mergeCell ref="J4:K4"/>
  </mergeCells>
  <printOptions/>
  <pageMargins left="0.7874015748031497" right="0.7874015748031497" top="0.7086614173228347" bottom="0.5905511811023623" header="0.5118110236220472" footer="0.5118110236220472"/>
  <pageSetup horizontalDpi="600" verticalDpi="600" orientation="portrait" paperSize="9" r:id="rId1"/>
  <headerFooter alignWithMargins="0">
    <oddHeader>&amp;R&amp;8人　口　　　　33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8">
      <selection activeCell="C25" sqref="C25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pans="1:11" ht="26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 customHeight="1">
      <c r="A2" s="26" t="s">
        <v>334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3.5">
      <c r="A3" s="61"/>
      <c r="B3" s="61"/>
      <c r="C3" s="61"/>
      <c r="D3" s="61"/>
      <c r="E3" s="61"/>
      <c r="F3" s="61"/>
      <c r="G3" s="61"/>
      <c r="H3" s="61"/>
      <c r="I3" s="61"/>
      <c r="J3" s="35"/>
      <c r="K3" s="187" t="s">
        <v>344</v>
      </c>
    </row>
    <row r="4" spans="1:11" ht="22.5" customHeight="1">
      <c r="A4" s="305" t="s">
        <v>183</v>
      </c>
      <c r="B4" s="271"/>
      <c r="C4" s="55" t="s">
        <v>117</v>
      </c>
      <c r="D4" s="55" t="s">
        <v>9</v>
      </c>
      <c r="E4" s="52" t="s">
        <v>10</v>
      </c>
      <c r="F4" s="304" t="s">
        <v>183</v>
      </c>
      <c r="G4" s="305"/>
      <c r="H4" s="271"/>
      <c r="I4" s="55" t="s">
        <v>117</v>
      </c>
      <c r="J4" s="55" t="s">
        <v>9</v>
      </c>
      <c r="K4" s="52" t="s">
        <v>10</v>
      </c>
    </row>
    <row r="5" spans="1:11" ht="6" customHeight="1">
      <c r="A5" s="116"/>
      <c r="B5" s="43"/>
      <c r="C5" s="116"/>
      <c r="D5" s="116"/>
      <c r="E5" s="116"/>
      <c r="F5" s="302"/>
      <c r="G5" s="303"/>
      <c r="H5" s="43"/>
      <c r="I5" s="116"/>
      <c r="J5" s="116"/>
      <c r="K5" s="116"/>
    </row>
    <row r="6" spans="1:11" ht="13.5">
      <c r="A6" s="299" t="s">
        <v>115</v>
      </c>
      <c r="B6" s="275"/>
      <c r="C6" s="5">
        <f>SUM(D6:E6)</f>
        <v>174458</v>
      </c>
      <c r="D6" s="5">
        <f>SUM(D14,D22,D30,D38,D46,J6,J14,J22,J30,J38,J46,'1 人口 4 (2)'!D6,'1 人口 4 (2)'!D14,'1 人口 4 (2)'!D22,'1 人口 4 (2)'!D30,'1 人口 4 (2)'!D38,'1 人口 4 (2)'!D46,'1 人口 4 (2)'!J6,'1 人口 4 (2)'!J14,'1 人口 4 (2)'!J22,'1 人口 4 (2)'!J30,'1 人口 4 (2)'!J33)</f>
        <v>87414</v>
      </c>
      <c r="E6" s="5">
        <f>SUM(E14,E22,E30,E38,E46,K6,K14,K22,K30,K38,K46,'1 人口 4 (2)'!E6,'1 人口 4 (2)'!E14,'1 人口 4 (2)'!E22,'1 人口 4 (2)'!E30,'1 人口 4 (2)'!E38,'1 人口 4 (2)'!E46,'1 人口 4 (2)'!K6,'1 人口 4 (2)'!K14,'1 人口 4 (2)'!K22,'1 人口 4 (2)'!K30,'1 人口 4 (2)'!K33)</f>
        <v>87044</v>
      </c>
      <c r="F6" s="272" t="s">
        <v>291</v>
      </c>
      <c r="G6" s="273"/>
      <c r="H6" s="156" t="s">
        <v>118</v>
      </c>
      <c r="I6" s="5">
        <f>SUM(I8:I12)</f>
        <v>12185</v>
      </c>
      <c r="J6" s="1">
        <f>SUM(J8:J12)</f>
        <v>6539</v>
      </c>
      <c r="K6" s="1">
        <f>SUM(K8:K12)</f>
        <v>5646</v>
      </c>
    </row>
    <row r="7" spans="1:11" ht="3.75" customHeight="1">
      <c r="A7" s="91"/>
      <c r="B7" s="110"/>
      <c r="C7" s="42"/>
      <c r="D7" s="42"/>
      <c r="E7" s="42"/>
      <c r="F7" s="118"/>
      <c r="G7" s="116"/>
      <c r="H7" s="110"/>
      <c r="I7" s="42"/>
      <c r="J7" s="29"/>
      <c r="K7" s="29"/>
    </row>
    <row r="8" spans="1:11" ht="13.5">
      <c r="A8" s="91"/>
      <c r="B8" s="110"/>
      <c r="C8" s="42"/>
      <c r="D8" s="42"/>
      <c r="E8" s="42"/>
      <c r="F8" s="302">
        <v>25</v>
      </c>
      <c r="G8" s="303"/>
      <c r="H8" s="110"/>
      <c r="I8" s="42">
        <f>J8+K8</f>
        <v>2467</v>
      </c>
      <c r="J8" s="117">
        <v>1330</v>
      </c>
      <c r="K8" s="117">
        <v>1137</v>
      </c>
    </row>
    <row r="9" spans="1:11" ht="13.5">
      <c r="A9" s="91"/>
      <c r="B9" s="110"/>
      <c r="C9" s="42"/>
      <c r="D9" s="42"/>
      <c r="E9" s="42"/>
      <c r="F9" s="302">
        <v>26</v>
      </c>
      <c r="G9" s="303"/>
      <c r="H9" s="110"/>
      <c r="I9" s="42">
        <f>J9+K9</f>
        <v>2395</v>
      </c>
      <c r="J9" s="117">
        <v>1270</v>
      </c>
      <c r="K9" s="117">
        <v>1125</v>
      </c>
    </row>
    <row r="10" spans="1:11" ht="13.5">
      <c r="A10" s="91"/>
      <c r="B10" s="110"/>
      <c r="C10" s="42"/>
      <c r="D10" s="42"/>
      <c r="E10" s="42"/>
      <c r="F10" s="302">
        <v>27</v>
      </c>
      <c r="G10" s="303"/>
      <c r="H10" s="110"/>
      <c r="I10" s="42">
        <f>J10+K10</f>
        <v>2432</v>
      </c>
      <c r="J10" s="117">
        <v>1283</v>
      </c>
      <c r="K10" s="117">
        <v>1149</v>
      </c>
    </row>
    <row r="11" spans="1:11" ht="13.5">
      <c r="A11" s="91"/>
      <c r="B11" s="110"/>
      <c r="C11" s="42"/>
      <c r="D11" s="42"/>
      <c r="E11" s="42"/>
      <c r="F11" s="302">
        <v>28</v>
      </c>
      <c r="G11" s="303"/>
      <c r="H11" s="110"/>
      <c r="I11" s="42">
        <f>J11+K11</f>
        <v>2420</v>
      </c>
      <c r="J11" s="117">
        <v>1308</v>
      </c>
      <c r="K11" s="117">
        <v>1112</v>
      </c>
    </row>
    <row r="12" spans="1:11" ht="13.5">
      <c r="A12" s="91"/>
      <c r="B12" s="110"/>
      <c r="C12" s="42"/>
      <c r="D12" s="42"/>
      <c r="E12" s="42"/>
      <c r="F12" s="302">
        <v>29</v>
      </c>
      <c r="G12" s="303"/>
      <c r="H12" s="110"/>
      <c r="I12" s="42">
        <f>J12+K12</f>
        <v>2471</v>
      </c>
      <c r="J12" s="117">
        <v>1348</v>
      </c>
      <c r="K12" s="117">
        <v>1123</v>
      </c>
    </row>
    <row r="13" spans="1:11" ht="6" customHeight="1">
      <c r="A13" s="91"/>
      <c r="B13" s="110"/>
      <c r="C13" s="42"/>
      <c r="D13" s="42"/>
      <c r="E13" s="42"/>
      <c r="F13" s="118"/>
      <c r="G13" s="116"/>
      <c r="H13" s="110"/>
      <c r="I13" s="42"/>
      <c r="J13" s="42"/>
      <c r="K13" s="42"/>
    </row>
    <row r="14" spans="1:11" ht="13.5">
      <c r="A14" s="3" t="s">
        <v>288</v>
      </c>
      <c r="B14" s="156" t="s">
        <v>118</v>
      </c>
      <c r="C14" s="5">
        <f>SUM(C16:C20)</f>
        <v>7388</v>
      </c>
      <c r="D14" s="5">
        <f>SUM(D16:D20)</f>
        <v>3769</v>
      </c>
      <c r="E14" s="5">
        <f>SUM(E16:E20)</f>
        <v>3619</v>
      </c>
      <c r="F14" s="272" t="s">
        <v>283</v>
      </c>
      <c r="G14" s="273"/>
      <c r="H14" s="119"/>
      <c r="I14" s="5">
        <f>SUM(I16:I20)</f>
        <v>13582</v>
      </c>
      <c r="J14" s="5">
        <f>SUM(J16:J20)</f>
        <v>7331</v>
      </c>
      <c r="K14" s="5">
        <f>SUM(K16:K20)</f>
        <v>6251</v>
      </c>
    </row>
    <row r="15" spans="1:11" ht="3.75" customHeight="1">
      <c r="A15" s="116"/>
      <c r="B15" s="110"/>
      <c r="C15" s="42"/>
      <c r="D15" s="42"/>
      <c r="E15" s="42"/>
      <c r="F15" s="118"/>
      <c r="G15" s="116"/>
      <c r="H15" s="110"/>
      <c r="I15" s="42"/>
      <c r="J15" s="42"/>
      <c r="K15" s="42"/>
    </row>
    <row r="16" spans="1:11" ht="13.5">
      <c r="A16" s="116">
        <v>0</v>
      </c>
      <c r="B16" s="110"/>
      <c r="C16" s="42">
        <f>D16+E16</f>
        <v>1413</v>
      </c>
      <c r="D16" s="117">
        <v>736</v>
      </c>
      <c r="E16" s="117">
        <v>677</v>
      </c>
      <c r="F16" s="302">
        <v>30</v>
      </c>
      <c r="G16" s="303"/>
      <c r="H16" s="110"/>
      <c r="I16" s="42">
        <f>J16+K16</f>
        <v>2640</v>
      </c>
      <c r="J16" s="117">
        <v>1451</v>
      </c>
      <c r="K16" s="117">
        <v>1189</v>
      </c>
    </row>
    <row r="17" spans="1:11" ht="13.5">
      <c r="A17" s="116">
        <v>1</v>
      </c>
      <c r="B17" s="110"/>
      <c r="C17" s="42">
        <f>D17+E17</f>
        <v>1553</v>
      </c>
      <c r="D17" s="117">
        <v>777</v>
      </c>
      <c r="E17" s="117">
        <v>776</v>
      </c>
      <c r="F17" s="302">
        <v>31</v>
      </c>
      <c r="G17" s="303"/>
      <c r="H17" s="110"/>
      <c r="I17" s="42">
        <f>J17+K17</f>
        <v>2674</v>
      </c>
      <c r="J17" s="117">
        <v>1441</v>
      </c>
      <c r="K17" s="117">
        <v>1233</v>
      </c>
    </row>
    <row r="18" spans="1:11" ht="13.5">
      <c r="A18" s="116">
        <v>2</v>
      </c>
      <c r="B18" s="110"/>
      <c r="C18" s="42">
        <f>D18+E18</f>
        <v>1480</v>
      </c>
      <c r="D18" s="117">
        <v>727</v>
      </c>
      <c r="E18" s="117">
        <v>753</v>
      </c>
      <c r="F18" s="302">
        <v>32</v>
      </c>
      <c r="G18" s="303"/>
      <c r="H18" s="110"/>
      <c r="I18" s="42">
        <f>J18+K18</f>
        <v>2641</v>
      </c>
      <c r="J18" s="117">
        <v>1380</v>
      </c>
      <c r="K18" s="117">
        <v>1261</v>
      </c>
    </row>
    <row r="19" spans="1:11" ht="13.5">
      <c r="A19" s="116">
        <v>3</v>
      </c>
      <c r="B19" s="110"/>
      <c r="C19" s="42">
        <f>D19+E19</f>
        <v>1552</v>
      </c>
      <c r="D19" s="117">
        <v>797</v>
      </c>
      <c r="E19" s="117">
        <v>755</v>
      </c>
      <c r="F19" s="302">
        <v>33</v>
      </c>
      <c r="G19" s="303"/>
      <c r="H19" s="110"/>
      <c r="I19" s="42">
        <f>J19+K19</f>
        <v>2786</v>
      </c>
      <c r="J19" s="117">
        <v>1499</v>
      </c>
      <c r="K19" s="117">
        <v>1287</v>
      </c>
    </row>
    <row r="20" spans="1:11" ht="13.5">
      <c r="A20" s="116">
        <v>4</v>
      </c>
      <c r="B20" s="110"/>
      <c r="C20" s="42">
        <f>D20+E20</f>
        <v>1390</v>
      </c>
      <c r="D20" s="117">
        <v>732</v>
      </c>
      <c r="E20" s="117">
        <v>658</v>
      </c>
      <c r="F20" s="302">
        <v>34</v>
      </c>
      <c r="G20" s="303"/>
      <c r="H20" s="110"/>
      <c r="I20" s="42">
        <f>J20+K20</f>
        <v>2841</v>
      </c>
      <c r="J20" s="117">
        <v>1560</v>
      </c>
      <c r="K20" s="117">
        <v>1281</v>
      </c>
    </row>
    <row r="21" spans="1:11" ht="6" customHeight="1">
      <c r="A21" s="116"/>
      <c r="B21" s="110"/>
      <c r="C21" s="42"/>
      <c r="D21" s="42"/>
      <c r="E21" s="42"/>
      <c r="F21" s="118"/>
      <c r="G21" s="116"/>
      <c r="H21" s="110"/>
      <c r="I21" s="42"/>
      <c r="J21" s="42"/>
      <c r="K21" s="42"/>
    </row>
    <row r="22" spans="1:11" ht="13.5">
      <c r="A22" s="3" t="s">
        <v>284</v>
      </c>
      <c r="B22" s="119"/>
      <c r="C22" s="5">
        <f>SUM(C24:C28)</f>
        <v>7660</v>
      </c>
      <c r="D22" s="5">
        <f>SUM(D24:D28)</f>
        <v>3951</v>
      </c>
      <c r="E22" s="5">
        <f>SUM(E24:E28)</f>
        <v>3709</v>
      </c>
      <c r="F22" s="272" t="s">
        <v>285</v>
      </c>
      <c r="G22" s="273"/>
      <c r="H22" s="119"/>
      <c r="I22" s="5">
        <f>SUM(I24:I28)</f>
        <v>15678</v>
      </c>
      <c r="J22" s="5">
        <f>SUM(J24:J28)</f>
        <v>8226</v>
      </c>
      <c r="K22" s="5">
        <f>SUM(K24:K28)</f>
        <v>7452</v>
      </c>
    </row>
    <row r="23" spans="1:11" ht="3.75" customHeight="1">
      <c r="A23" s="116"/>
      <c r="B23" s="110"/>
      <c r="C23" s="42"/>
      <c r="D23" s="42"/>
      <c r="E23" s="42"/>
      <c r="F23" s="118"/>
      <c r="G23" s="116"/>
      <c r="H23" s="110"/>
      <c r="I23" s="42"/>
      <c r="J23" s="42"/>
      <c r="K23" s="42"/>
    </row>
    <row r="24" spans="1:11" ht="13.5">
      <c r="A24" s="116">
        <v>5</v>
      </c>
      <c r="B24" s="110"/>
      <c r="C24" s="42">
        <f>D24+E24</f>
        <v>1540</v>
      </c>
      <c r="D24" s="117">
        <v>801</v>
      </c>
      <c r="E24" s="117">
        <v>739</v>
      </c>
      <c r="F24" s="302">
        <v>35</v>
      </c>
      <c r="G24" s="303"/>
      <c r="H24" s="110"/>
      <c r="I24" s="42">
        <f>J24+K24</f>
        <v>2994</v>
      </c>
      <c r="J24" s="117">
        <v>1563</v>
      </c>
      <c r="K24" s="117">
        <v>1431</v>
      </c>
    </row>
    <row r="25" spans="1:11" ht="13.5">
      <c r="A25" s="116">
        <v>6</v>
      </c>
      <c r="B25" s="110"/>
      <c r="C25" s="42">
        <f>D25+E25</f>
        <v>1490</v>
      </c>
      <c r="D25" s="117">
        <v>783</v>
      </c>
      <c r="E25" s="117">
        <v>707</v>
      </c>
      <c r="F25" s="302">
        <v>36</v>
      </c>
      <c r="G25" s="303"/>
      <c r="H25" s="110"/>
      <c r="I25" s="42">
        <f>J25+K25</f>
        <v>3291</v>
      </c>
      <c r="J25" s="117">
        <v>1723</v>
      </c>
      <c r="K25" s="117">
        <v>1568</v>
      </c>
    </row>
    <row r="26" spans="1:11" ht="13.5">
      <c r="A26" s="116">
        <v>7</v>
      </c>
      <c r="B26" s="110"/>
      <c r="C26" s="42">
        <f>D26+E26</f>
        <v>1573</v>
      </c>
      <c r="D26" s="117">
        <v>793</v>
      </c>
      <c r="E26" s="117">
        <v>780</v>
      </c>
      <c r="F26" s="302">
        <v>37</v>
      </c>
      <c r="G26" s="303"/>
      <c r="H26" s="110"/>
      <c r="I26" s="42">
        <f>J26+K26</f>
        <v>3169</v>
      </c>
      <c r="J26" s="117">
        <v>1666</v>
      </c>
      <c r="K26" s="117">
        <v>1503</v>
      </c>
    </row>
    <row r="27" spans="1:11" ht="13.5">
      <c r="A27" s="116">
        <v>8</v>
      </c>
      <c r="B27" s="110"/>
      <c r="C27" s="42">
        <f>D27+E27</f>
        <v>1498</v>
      </c>
      <c r="D27" s="117">
        <v>784</v>
      </c>
      <c r="E27" s="117">
        <v>714</v>
      </c>
      <c r="F27" s="302">
        <v>38</v>
      </c>
      <c r="G27" s="303"/>
      <c r="H27" s="110"/>
      <c r="I27" s="42">
        <f>J27+K27</f>
        <v>3117</v>
      </c>
      <c r="J27" s="117">
        <v>1642</v>
      </c>
      <c r="K27" s="117">
        <v>1475</v>
      </c>
    </row>
    <row r="28" spans="1:11" ht="13.5">
      <c r="A28" s="116">
        <v>9</v>
      </c>
      <c r="B28" s="110"/>
      <c r="C28" s="42">
        <f>D28+E28</f>
        <v>1559</v>
      </c>
      <c r="D28" s="117">
        <v>790</v>
      </c>
      <c r="E28" s="117">
        <v>769</v>
      </c>
      <c r="F28" s="302">
        <v>39</v>
      </c>
      <c r="G28" s="303"/>
      <c r="H28" s="110"/>
      <c r="I28" s="42">
        <f>J28+K28</f>
        <v>3107</v>
      </c>
      <c r="J28" s="117">
        <v>1632</v>
      </c>
      <c r="K28" s="117">
        <v>1475</v>
      </c>
    </row>
    <row r="29" spans="1:11" ht="6" customHeight="1">
      <c r="A29" s="116"/>
      <c r="B29" s="110"/>
      <c r="C29" s="42"/>
      <c r="D29" s="42"/>
      <c r="E29" s="42"/>
      <c r="F29" s="118"/>
      <c r="G29" s="116"/>
      <c r="H29" s="110"/>
      <c r="I29" s="42"/>
      <c r="J29" s="42"/>
      <c r="K29" s="42"/>
    </row>
    <row r="30" spans="1:11" ht="13.5">
      <c r="A30" s="3" t="s">
        <v>286</v>
      </c>
      <c r="B30" s="119"/>
      <c r="C30" s="5">
        <f>SUM(C32:C36)</f>
        <v>7546</v>
      </c>
      <c r="D30" s="5">
        <f>SUM(D32:D36)</f>
        <v>3843</v>
      </c>
      <c r="E30" s="5">
        <f>SUM(E32:E36)</f>
        <v>3703</v>
      </c>
      <c r="F30" s="272" t="s">
        <v>287</v>
      </c>
      <c r="G30" s="273"/>
      <c r="H30" s="119"/>
      <c r="I30" s="5">
        <f>SUM(I32:I36)</f>
        <v>13635</v>
      </c>
      <c r="J30" s="5">
        <f>SUM(J32:J36)</f>
        <v>7351</v>
      </c>
      <c r="K30" s="5">
        <f>SUM(K32:K36)</f>
        <v>6284</v>
      </c>
    </row>
    <row r="31" spans="1:11" ht="3.75" customHeight="1">
      <c r="A31" s="116"/>
      <c r="B31" s="110"/>
      <c r="C31" s="42"/>
      <c r="D31" s="42"/>
      <c r="E31" s="42"/>
      <c r="F31" s="118"/>
      <c r="G31" s="116"/>
      <c r="H31" s="110"/>
      <c r="I31" s="42"/>
      <c r="J31" s="42"/>
      <c r="K31" s="42"/>
    </row>
    <row r="32" spans="1:11" ht="13.5">
      <c r="A32" s="116">
        <v>10</v>
      </c>
      <c r="B32" s="110"/>
      <c r="C32" s="42">
        <f>D32+E32</f>
        <v>1465</v>
      </c>
      <c r="D32" s="117">
        <v>764</v>
      </c>
      <c r="E32" s="117">
        <v>701</v>
      </c>
      <c r="F32" s="302">
        <v>40</v>
      </c>
      <c r="G32" s="303"/>
      <c r="H32" s="110"/>
      <c r="I32" s="42">
        <f>J32+K32</f>
        <v>2986</v>
      </c>
      <c r="J32" s="117">
        <v>1618</v>
      </c>
      <c r="K32" s="117">
        <v>1368</v>
      </c>
    </row>
    <row r="33" spans="1:11" ht="13.5">
      <c r="A33" s="116">
        <v>11</v>
      </c>
      <c r="B33" s="110"/>
      <c r="C33" s="42">
        <f>D33+E33</f>
        <v>1506</v>
      </c>
      <c r="D33" s="117">
        <v>776</v>
      </c>
      <c r="E33" s="117">
        <v>730</v>
      </c>
      <c r="F33" s="302">
        <v>41</v>
      </c>
      <c r="G33" s="303"/>
      <c r="H33" s="110"/>
      <c r="I33" s="42">
        <f>J33+K33</f>
        <v>2828</v>
      </c>
      <c r="J33" s="117">
        <v>1490</v>
      </c>
      <c r="K33" s="117">
        <v>1338</v>
      </c>
    </row>
    <row r="34" spans="1:11" ht="13.5">
      <c r="A34" s="116">
        <v>12</v>
      </c>
      <c r="B34" s="110"/>
      <c r="C34" s="42">
        <f>D34+E34</f>
        <v>1555</v>
      </c>
      <c r="D34" s="117">
        <v>762</v>
      </c>
      <c r="E34" s="117">
        <v>793</v>
      </c>
      <c r="F34" s="302">
        <v>42</v>
      </c>
      <c r="G34" s="303"/>
      <c r="H34" s="110"/>
      <c r="I34" s="42">
        <f>J34+K34</f>
        <v>2920</v>
      </c>
      <c r="J34" s="117">
        <v>1575</v>
      </c>
      <c r="K34" s="117">
        <v>1345</v>
      </c>
    </row>
    <row r="35" spans="1:11" ht="13.5">
      <c r="A35" s="116">
        <v>13</v>
      </c>
      <c r="B35" s="110"/>
      <c r="C35" s="42">
        <f>D35+E35</f>
        <v>1557</v>
      </c>
      <c r="D35" s="117">
        <v>787</v>
      </c>
      <c r="E35" s="117">
        <v>770</v>
      </c>
      <c r="F35" s="302">
        <v>43</v>
      </c>
      <c r="G35" s="303"/>
      <c r="H35" s="110"/>
      <c r="I35" s="42">
        <f>J35+K35</f>
        <v>2084</v>
      </c>
      <c r="J35" s="117">
        <v>1138</v>
      </c>
      <c r="K35" s="117">
        <v>946</v>
      </c>
    </row>
    <row r="36" spans="1:11" ht="13.5">
      <c r="A36" s="116">
        <v>14</v>
      </c>
      <c r="B36" s="110"/>
      <c r="C36" s="42">
        <f>D36+E36</f>
        <v>1463</v>
      </c>
      <c r="D36" s="117">
        <v>754</v>
      </c>
      <c r="E36" s="117">
        <v>709</v>
      </c>
      <c r="F36" s="302">
        <v>44</v>
      </c>
      <c r="G36" s="303"/>
      <c r="H36" s="110"/>
      <c r="I36" s="42">
        <f>J36+K36</f>
        <v>2817</v>
      </c>
      <c r="J36" s="117">
        <v>1530</v>
      </c>
      <c r="K36" s="117">
        <v>1287</v>
      </c>
    </row>
    <row r="37" spans="1:11" ht="6" customHeight="1">
      <c r="A37" s="116"/>
      <c r="B37" s="110"/>
      <c r="C37" s="42"/>
      <c r="D37" s="42"/>
      <c r="E37" s="42"/>
      <c r="F37" s="118"/>
      <c r="G37" s="116"/>
      <c r="H37" s="110"/>
      <c r="I37" s="42"/>
      <c r="J37" s="42"/>
      <c r="K37" s="42"/>
    </row>
    <row r="38" spans="1:11" ht="13.5" customHeight="1">
      <c r="A38" s="3" t="s">
        <v>289</v>
      </c>
      <c r="B38" s="119"/>
      <c r="C38" s="5">
        <f>SUM(C40:C44)</f>
        <v>7806</v>
      </c>
      <c r="D38" s="5">
        <f>SUM(D40:D44)</f>
        <v>3872</v>
      </c>
      <c r="E38" s="5">
        <f>SUM(E40:E44)</f>
        <v>3934</v>
      </c>
      <c r="F38" s="272" t="s">
        <v>292</v>
      </c>
      <c r="G38" s="273"/>
      <c r="H38" s="119"/>
      <c r="I38" s="5">
        <f>SUM(I40:I44)</f>
        <v>11137</v>
      </c>
      <c r="J38" s="5">
        <f>SUM(J40:J44)</f>
        <v>5954</v>
      </c>
      <c r="K38" s="5">
        <f>SUM(K40:K44)</f>
        <v>5183</v>
      </c>
    </row>
    <row r="39" spans="1:11" ht="3.75" customHeight="1">
      <c r="A39" s="116"/>
      <c r="B39" s="110"/>
      <c r="C39" s="42"/>
      <c r="D39" s="42"/>
      <c r="E39" s="42"/>
      <c r="F39" s="118"/>
      <c r="G39" s="116"/>
      <c r="H39" s="110"/>
      <c r="I39" s="42"/>
      <c r="J39" s="42"/>
      <c r="K39" s="42"/>
    </row>
    <row r="40" spans="1:11" ht="13.5">
      <c r="A40" s="116">
        <v>15</v>
      </c>
      <c r="B40" s="110"/>
      <c r="C40" s="42">
        <f>D40+E40</f>
        <v>1543</v>
      </c>
      <c r="D40" s="117">
        <v>775</v>
      </c>
      <c r="E40" s="117">
        <v>768</v>
      </c>
      <c r="F40" s="302">
        <v>45</v>
      </c>
      <c r="G40" s="303"/>
      <c r="H40" s="110"/>
      <c r="I40" s="42">
        <f>J40+K40</f>
        <v>2546</v>
      </c>
      <c r="J40" s="117">
        <v>1383</v>
      </c>
      <c r="K40" s="117">
        <v>1163</v>
      </c>
    </row>
    <row r="41" spans="1:11" ht="13.5">
      <c r="A41" s="116">
        <v>16</v>
      </c>
      <c r="B41" s="110"/>
      <c r="C41" s="42">
        <f>D41+E41</f>
        <v>1401</v>
      </c>
      <c r="D41" s="117">
        <v>717</v>
      </c>
      <c r="E41" s="117">
        <v>684</v>
      </c>
      <c r="F41" s="302">
        <v>46</v>
      </c>
      <c r="G41" s="303"/>
      <c r="H41" s="110"/>
      <c r="I41" s="42">
        <f>J41+K41</f>
        <v>2377</v>
      </c>
      <c r="J41" s="117">
        <v>1253</v>
      </c>
      <c r="K41" s="117">
        <v>1124</v>
      </c>
    </row>
    <row r="42" spans="1:11" ht="13.5">
      <c r="A42" s="116">
        <v>17</v>
      </c>
      <c r="B42" s="110"/>
      <c r="C42" s="42">
        <f>D42+E42</f>
        <v>1505</v>
      </c>
      <c r="D42" s="117">
        <v>747</v>
      </c>
      <c r="E42" s="117">
        <v>758</v>
      </c>
      <c r="F42" s="302">
        <v>47</v>
      </c>
      <c r="G42" s="303"/>
      <c r="H42" s="110"/>
      <c r="I42" s="42">
        <f>J42+K42</f>
        <v>2160</v>
      </c>
      <c r="J42" s="117">
        <v>1218</v>
      </c>
      <c r="K42" s="117">
        <v>942</v>
      </c>
    </row>
    <row r="43" spans="1:11" ht="13.5">
      <c r="A43" s="116">
        <v>18</v>
      </c>
      <c r="B43" s="110"/>
      <c r="C43" s="42">
        <f>D43+E43</f>
        <v>1549</v>
      </c>
      <c r="D43" s="117">
        <v>770</v>
      </c>
      <c r="E43" s="117">
        <v>779</v>
      </c>
      <c r="F43" s="302">
        <v>48</v>
      </c>
      <c r="G43" s="303"/>
      <c r="H43" s="110"/>
      <c r="I43" s="42">
        <f>J43+K43</f>
        <v>2067</v>
      </c>
      <c r="J43" s="117">
        <v>1052</v>
      </c>
      <c r="K43" s="117">
        <v>1015</v>
      </c>
    </row>
    <row r="44" spans="1:11" ht="13.5">
      <c r="A44" s="116">
        <v>19</v>
      </c>
      <c r="B44" s="110"/>
      <c r="C44" s="42">
        <f>D44+E44</f>
        <v>1808</v>
      </c>
      <c r="D44" s="117">
        <v>863</v>
      </c>
      <c r="E44" s="117">
        <v>945</v>
      </c>
      <c r="F44" s="302">
        <v>49</v>
      </c>
      <c r="G44" s="303"/>
      <c r="H44" s="110"/>
      <c r="I44" s="42">
        <f>J44+K44</f>
        <v>1987</v>
      </c>
      <c r="J44" s="117">
        <v>1048</v>
      </c>
      <c r="K44" s="117">
        <v>939</v>
      </c>
    </row>
    <row r="45" spans="1:11" ht="6" customHeight="1">
      <c r="A45" s="116"/>
      <c r="B45" s="110"/>
      <c r="C45" s="42"/>
      <c r="D45" s="42"/>
      <c r="E45" s="42"/>
      <c r="F45" s="118"/>
      <c r="G45" s="116"/>
      <c r="H45" s="110"/>
      <c r="I45" s="42"/>
      <c r="J45" s="42"/>
      <c r="K45" s="42"/>
    </row>
    <row r="46" spans="1:11" ht="13.5">
      <c r="A46" s="3" t="s">
        <v>290</v>
      </c>
      <c r="B46" s="119"/>
      <c r="C46" s="5">
        <f>SUM(C48:C52)</f>
        <v>10415</v>
      </c>
      <c r="D46" s="5">
        <f>SUM(D48:D52)</f>
        <v>5225</v>
      </c>
      <c r="E46" s="5">
        <f>SUM(E48:E52)</f>
        <v>5190</v>
      </c>
      <c r="F46" s="272" t="s">
        <v>293</v>
      </c>
      <c r="G46" s="273"/>
      <c r="H46" s="119"/>
      <c r="I46" s="5">
        <f>SUM(I48:I52)</f>
        <v>9428</v>
      </c>
      <c r="J46" s="5">
        <f>SUM(J48:J52)</f>
        <v>4858</v>
      </c>
      <c r="K46" s="5">
        <f>SUM(K48:K52)</f>
        <v>4570</v>
      </c>
    </row>
    <row r="47" spans="1:11" ht="3.75" customHeight="1">
      <c r="A47" s="116"/>
      <c r="B47" s="110"/>
      <c r="C47" s="42"/>
      <c r="D47" s="42"/>
      <c r="E47" s="42"/>
      <c r="F47" s="118"/>
      <c r="G47" s="116"/>
      <c r="H47" s="110"/>
      <c r="I47" s="42"/>
      <c r="J47" s="42"/>
      <c r="K47" s="42"/>
    </row>
    <row r="48" spans="1:11" ht="13.5">
      <c r="A48" s="116">
        <v>20</v>
      </c>
      <c r="B48" s="110"/>
      <c r="C48" s="42">
        <f>D48+E48</f>
        <v>1874</v>
      </c>
      <c r="D48" s="117">
        <v>913</v>
      </c>
      <c r="E48" s="117">
        <v>961</v>
      </c>
      <c r="F48" s="302">
        <v>50</v>
      </c>
      <c r="G48" s="303"/>
      <c r="H48" s="110"/>
      <c r="I48" s="42">
        <f>J48+K48</f>
        <v>1903</v>
      </c>
      <c r="J48" s="117">
        <v>998</v>
      </c>
      <c r="K48" s="117">
        <v>905</v>
      </c>
    </row>
    <row r="49" spans="1:11" ht="13.5">
      <c r="A49" s="116">
        <v>21</v>
      </c>
      <c r="B49" s="110"/>
      <c r="C49" s="42">
        <f>D49+E49</f>
        <v>1927</v>
      </c>
      <c r="D49" s="117">
        <v>904</v>
      </c>
      <c r="E49" s="117">
        <v>1023</v>
      </c>
      <c r="F49" s="302">
        <v>51</v>
      </c>
      <c r="G49" s="303"/>
      <c r="H49" s="110"/>
      <c r="I49" s="42">
        <f>J49+K49</f>
        <v>1936</v>
      </c>
      <c r="J49" s="117">
        <v>1025</v>
      </c>
      <c r="K49" s="117">
        <v>911</v>
      </c>
    </row>
    <row r="50" spans="1:11" ht="13.5">
      <c r="A50" s="116">
        <v>22</v>
      </c>
      <c r="B50" s="110"/>
      <c r="C50" s="42">
        <f>D50+E50</f>
        <v>2136</v>
      </c>
      <c r="D50" s="117">
        <v>1041</v>
      </c>
      <c r="E50" s="117">
        <v>1095</v>
      </c>
      <c r="F50" s="302">
        <v>52</v>
      </c>
      <c r="G50" s="303"/>
      <c r="H50" s="110"/>
      <c r="I50" s="42">
        <f>J50+K50</f>
        <v>1868</v>
      </c>
      <c r="J50" s="117">
        <v>933</v>
      </c>
      <c r="K50" s="117">
        <v>935</v>
      </c>
    </row>
    <row r="51" spans="1:11" ht="13.5">
      <c r="A51" s="116">
        <v>23</v>
      </c>
      <c r="B51" s="110"/>
      <c r="C51" s="42">
        <f>D51+E51</f>
        <v>2261</v>
      </c>
      <c r="D51" s="117">
        <v>1146</v>
      </c>
      <c r="E51" s="117">
        <v>1115</v>
      </c>
      <c r="F51" s="302">
        <v>53</v>
      </c>
      <c r="G51" s="303"/>
      <c r="H51" s="110"/>
      <c r="I51" s="42">
        <f>J51+K51</f>
        <v>1789</v>
      </c>
      <c r="J51" s="117">
        <v>934</v>
      </c>
      <c r="K51" s="117">
        <v>855</v>
      </c>
    </row>
    <row r="52" spans="1:11" ht="13.5">
      <c r="A52" s="116">
        <v>24</v>
      </c>
      <c r="B52" s="110"/>
      <c r="C52" s="42">
        <f>D52+E52</f>
        <v>2217</v>
      </c>
      <c r="D52" s="117">
        <v>1221</v>
      </c>
      <c r="E52" s="117">
        <v>996</v>
      </c>
      <c r="F52" s="302">
        <v>54</v>
      </c>
      <c r="G52" s="303"/>
      <c r="H52" s="110"/>
      <c r="I52" s="42">
        <f>J52+K52</f>
        <v>1932</v>
      </c>
      <c r="J52" s="117">
        <v>968</v>
      </c>
      <c r="K52" s="117">
        <v>964</v>
      </c>
    </row>
    <row r="53" spans="1:11" ht="6" customHeight="1">
      <c r="A53" s="120"/>
      <c r="B53" s="121"/>
      <c r="C53" s="123"/>
      <c r="D53" s="63"/>
      <c r="E53" s="63"/>
      <c r="F53" s="122"/>
      <c r="G53" s="120"/>
      <c r="H53" s="121"/>
      <c r="I53" s="63"/>
      <c r="J53" s="63"/>
      <c r="K53" s="63"/>
    </row>
    <row r="54" spans="1:11" ht="13.5">
      <c r="A54" s="193" t="s">
        <v>260</v>
      </c>
      <c r="B54" s="125"/>
      <c r="C54" s="125"/>
      <c r="D54" s="35"/>
      <c r="E54" s="35"/>
      <c r="F54" s="35"/>
      <c r="G54" s="35"/>
      <c r="H54" s="35"/>
      <c r="I54" s="35"/>
      <c r="J54" s="274"/>
      <c r="K54" s="274"/>
    </row>
    <row r="55" spans="1:11" ht="13.5">
      <c r="A55" s="193" t="s">
        <v>328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</row>
  </sheetData>
  <mergeCells count="41">
    <mergeCell ref="F18:G18"/>
    <mergeCell ref="F19:G19"/>
    <mergeCell ref="F20:G20"/>
    <mergeCell ref="F22:G22"/>
    <mergeCell ref="F48:G48"/>
    <mergeCell ref="F49:G49"/>
    <mergeCell ref="F50:G50"/>
    <mergeCell ref="F42:G42"/>
    <mergeCell ref="F24:G24"/>
    <mergeCell ref="F25:G25"/>
    <mergeCell ref="F26:G26"/>
    <mergeCell ref="F27:G27"/>
    <mergeCell ref="J54:K54"/>
    <mergeCell ref="A4:B4"/>
    <mergeCell ref="A6:B6"/>
    <mergeCell ref="F6:G6"/>
    <mergeCell ref="F33:G33"/>
    <mergeCell ref="F8:G8"/>
    <mergeCell ref="F34:G34"/>
    <mergeCell ref="F35:G35"/>
    <mergeCell ref="F36:G36"/>
    <mergeCell ref="F38:G38"/>
    <mergeCell ref="F32:G32"/>
    <mergeCell ref="F28:G28"/>
    <mergeCell ref="F40:G40"/>
    <mergeCell ref="F52:G52"/>
    <mergeCell ref="F43:G43"/>
    <mergeCell ref="F44:G44"/>
    <mergeCell ref="F46:G46"/>
    <mergeCell ref="F30:G30"/>
    <mergeCell ref="F51:G51"/>
    <mergeCell ref="F41:G41"/>
    <mergeCell ref="F5:G5"/>
    <mergeCell ref="F4:H4"/>
    <mergeCell ref="F16:G16"/>
    <mergeCell ref="F17:G17"/>
    <mergeCell ref="F11:G11"/>
    <mergeCell ref="F12:G12"/>
    <mergeCell ref="F14:G14"/>
    <mergeCell ref="F9:G9"/>
    <mergeCell ref="F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34　　　　人　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A1:K55"/>
  <sheetViews>
    <sheetView workbookViewId="0" topLeftCell="A25">
      <selection activeCell="C25" sqref="C25"/>
    </sheetView>
  </sheetViews>
  <sheetFormatPr defaultColWidth="9.00390625" defaultRowHeight="13.5"/>
  <cols>
    <col min="1" max="1" width="8.125" style="2" customWidth="1"/>
    <col min="2" max="2" width="2.50390625" style="2" customWidth="1"/>
    <col min="3" max="5" width="10.00390625" style="2" customWidth="1"/>
    <col min="6" max="6" width="2.50390625" style="2" customWidth="1"/>
    <col min="7" max="7" width="5.625" style="2" customWidth="1"/>
    <col min="8" max="8" width="3.125" style="2" customWidth="1"/>
    <col min="9" max="11" width="10.00390625" style="2" customWidth="1"/>
    <col min="12" max="16384" width="9.00390625" style="2" customWidth="1"/>
  </cols>
  <sheetData>
    <row r="1" spans="1:11" ht="26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2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3.5">
      <c r="A3" s="19"/>
      <c r="B3" s="16"/>
      <c r="C3" s="16"/>
      <c r="D3" s="16"/>
      <c r="E3" s="16"/>
      <c r="F3" s="16"/>
      <c r="G3" s="16"/>
      <c r="H3" s="16"/>
      <c r="I3" s="16"/>
      <c r="J3" s="130"/>
      <c r="K3" s="130"/>
    </row>
    <row r="4" spans="1:11" ht="22.5" customHeight="1">
      <c r="A4" s="305" t="s">
        <v>183</v>
      </c>
      <c r="B4" s="271"/>
      <c r="C4" s="57" t="s">
        <v>117</v>
      </c>
      <c r="D4" s="55" t="s">
        <v>9</v>
      </c>
      <c r="E4" s="52" t="s">
        <v>10</v>
      </c>
      <c r="F4" s="304" t="s">
        <v>183</v>
      </c>
      <c r="G4" s="305"/>
      <c r="H4" s="271"/>
      <c r="I4" s="57" t="s">
        <v>117</v>
      </c>
      <c r="J4" s="55" t="s">
        <v>9</v>
      </c>
      <c r="K4" s="52" t="s">
        <v>10</v>
      </c>
    </row>
    <row r="5" spans="1:11" ht="6" customHeight="1">
      <c r="A5" s="126"/>
      <c r="B5" s="137"/>
      <c r="C5" s="126"/>
      <c r="D5" s="126"/>
      <c r="E5" s="126"/>
      <c r="F5" s="136"/>
      <c r="G5" s="126"/>
      <c r="H5" s="137"/>
      <c r="I5" s="126"/>
      <c r="J5" s="126"/>
      <c r="K5" s="126"/>
    </row>
    <row r="6" spans="1:11" ht="13.5">
      <c r="A6" s="3" t="s">
        <v>300</v>
      </c>
      <c r="B6" s="156" t="s">
        <v>118</v>
      </c>
      <c r="C6" s="22">
        <f>SUM(C8:C12)</f>
        <v>10931</v>
      </c>
      <c r="D6" s="22">
        <f>SUM(D8:D12)</f>
        <v>5532</v>
      </c>
      <c r="E6" s="22">
        <f>SUM(E8:E12)</f>
        <v>5399</v>
      </c>
      <c r="F6" s="272" t="s">
        <v>304</v>
      </c>
      <c r="G6" s="273"/>
      <c r="H6" s="156" t="s">
        <v>118</v>
      </c>
      <c r="I6" s="17">
        <f>SUM(I8:I12)</f>
        <v>2252</v>
      </c>
      <c r="J6" s="17">
        <f>SUM(J8:J12)</f>
        <v>635</v>
      </c>
      <c r="K6" s="17">
        <f>SUM(K8:K12)</f>
        <v>1617</v>
      </c>
    </row>
    <row r="7" spans="1:11" ht="3.75" customHeight="1">
      <c r="A7" s="116"/>
      <c r="B7" s="110"/>
      <c r="C7" s="93"/>
      <c r="D7" s="93"/>
      <c r="E7" s="93"/>
      <c r="F7" s="118"/>
      <c r="G7" s="116"/>
      <c r="H7" s="110"/>
      <c r="I7" s="94"/>
      <c r="J7" s="94"/>
      <c r="K7" s="94"/>
    </row>
    <row r="8" spans="1:11" ht="13.5">
      <c r="A8" s="116">
        <v>55</v>
      </c>
      <c r="B8" s="110"/>
      <c r="C8" s="93">
        <f>D8+E8</f>
        <v>2005</v>
      </c>
      <c r="D8" s="117">
        <v>1008</v>
      </c>
      <c r="E8" s="117">
        <v>997</v>
      </c>
      <c r="F8" s="302">
        <v>85</v>
      </c>
      <c r="G8" s="303"/>
      <c r="H8" s="110"/>
      <c r="I8" s="94">
        <f>J8+K8</f>
        <v>550</v>
      </c>
      <c r="J8" s="117">
        <v>175</v>
      </c>
      <c r="K8" s="117">
        <v>375</v>
      </c>
    </row>
    <row r="9" spans="1:11" ht="13.5">
      <c r="A9" s="116">
        <v>56</v>
      </c>
      <c r="B9" s="110"/>
      <c r="C9" s="93">
        <f>D9+E9</f>
        <v>1965</v>
      </c>
      <c r="D9" s="117">
        <v>1022</v>
      </c>
      <c r="E9" s="117">
        <v>943</v>
      </c>
      <c r="F9" s="302">
        <v>86</v>
      </c>
      <c r="G9" s="303"/>
      <c r="H9" s="110"/>
      <c r="I9" s="94">
        <f>J9+K9</f>
        <v>511</v>
      </c>
      <c r="J9" s="117">
        <v>160</v>
      </c>
      <c r="K9" s="117">
        <v>351</v>
      </c>
    </row>
    <row r="10" spans="1:11" ht="13.5">
      <c r="A10" s="116">
        <v>57</v>
      </c>
      <c r="B10" s="110"/>
      <c r="C10" s="93">
        <f>D10+E10</f>
        <v>2132</v>
      </c>
      <c r="D10" s="117">
        <v>1069</v>
      </c>
      <c r="E10" s="117">
        <v>1063</v>
      </c>
      <c r="F10" s="302">
        <v>87</v>
      </c>
      <c r="G10" s="303"/>
      <c r="H10" s="110"/>
      <c r="I10" s="94">
        <f>J10+K10</f>
        <v>404</v>
      </c>
      <c r="J10" s="117">
        <v>103</v>
      </c>
      <c r="K10" s="117">
        <v>301</v>
      </c>
    </row>
    <row r="11" spans="1:11" ht="13.5">
      <c r="A11" s="116">
        <v>58</v>
      </c>
      <c r="B11" s="110"/>
      <c r="C11" s="93">
        <f>D11+E11</f>
        <v>2302</v>
      </c>
      <c r="D11" s="117">
        <v>1166</v>
      </c>
      <c r="E11" s="117">
        <v>1136</v>
      </c>
      <c r="F11" s="302">
        <v>88</v>
      </c>
      <c r="G11" s="303"/>
      <c r="H11" s="110"/>
      <c r="I11" s="94">
        <f>J11+K11</f>
        <v>427</v>
      </c>
      <c r="J11" s="117">
        <v>110</v>
      </c>
      <c r="K11" s="117">
        <v>317</v>
      </c>
    </row>
    <row r="12" spans="1:11" ht="13.5">
      <c r="A12" s="116">
        <v>59</v>
      </c>
      <c r="B12" s="110"/>
      <c r="C12" s="93">
        <f>D12+E12</f>
        <v>2527</v>
      </c>
      <c r="D12" s="117">
        <v>1267</v>
      </c>
      <c r="E12" s="117">
        <v>1260</v>
      </c>
      <c r="F12" s="302">
        <v>89</v>
      </c>
      <c r="G12" s="303"/>
      <c r="H12" s="110"/>
      <c r="I12" s="94">
        <f>J12+K12</f>
        <v>360</v>
      </c>
      <c r="J12" s="117">
        <v>87</v>
      </c>
      <c r="K12" s="117">
        <v>273</v>
      </c>
    </row>
    <row r="13" spans="1:11" ht="6" customHeight="1">
      <c r="A13" s="116"/>
      <c r="B13" s="110"/>
      <c r="C13" s="93"/>
      <c r="D13" s="93"/>
      <c r="E13" s="93"/>
      <c r="F13" s="118"/>
      <c r="G13" s="116"/>
      <c r="H13" s="110"/>
      <c r="I13" s="94"/>
      <c r="J13" s="93"/>
      <c r="K13" s="93"/>
    </row>
    <row r="14" spans="1:11" ht="13.5">
      <c r="A14" s="3" t="s">
        <v>294</v>
      </c>
      <c r="B14" s="119"/>
      <c r="C14" s="22">
        <f>SUM(C16:C20)</f>
        <v>12285</v>
      </c>
      <c r="D14" s="22">
        <f>SUM(D16:D20)</f>
        <v>5997</v>
      </c>
      <c r="E14" s="22">
        <f>SUM(E16:E20)</f>
        <v>6288</v>
      </c>
      <c r="F14" s="272" t="s">
        <v>295</v>
      </c>
      <c r="G14" s="273"/>
      <c r="H14" s="119"/>
      <c r="I14" s="17">
        <f>SUM(I16:I20)</f>
        <v>1011</v>
      </c>
      <c r="J14" s="22">
        <f>SUM(J16:J20)</f>
        <v>209</v>
      </c>
      <c r="K14" s="22">
        <f>SUM(K16:K20)</f>
        <v>802</v>
      </c>
    </row>
    <row r="15" spans="1:11" ht="3.75" customHeight="1">
      <c r="A15" s="116"/>
      <c r="B15" s="110"/>
      <c r="C15" s="93"/>
      <c r="D15" s="93"/>
      <c r="E15" s="93"/>
      <c r="F15" s="118"/>
      <c r="G15" s="116"/>
      <c r="H15" s="110"/>
      <c r="I15" s="94"/>
      <c r="J15" s="93"/>
      <c r="K15" s="93"/>
    </row>
    <row r="16" spans="1:11" ht="13.5">
      <c r="A16" s="116">
        <v>60</v>
      </c>
      <c r="B16" s="110"/>
      <c r="C16" s="93">
        <f>D16+E16</f>
        <v>2717</v>
      </c>
      <c r="D16" s="117">
        <v>1371</v>
      </c>
      <c r="E16" s="117">
        <v>1346</v>
      </c>
      <c r="F16" s="302">
        <v>90</v>
      </c>
      <c r="G16" s="303"/>
      <c r="H16" s="110"/>
      <c r="I16" s="94">
        <f>J16+K16</f>
        <v>312</v>
      </c>
      <c r="J16" s="117">
        <v>70</v>
      </c>
      <c r="K16" s="117">
        <v>242</v>
      </c>
    </row>
    <row r="17" spans="1:11" ht="13.5">
      <c r="A17" s="116">
        <v>61</v>
      </c>
      <c r="B17" s="110"/>
      <c r="C17" s="93">
        <f>D17+E17</f>
        <v>2775</v>
      </c>
      <c r="D17" s="117">
        <v>1292</v>
      </c>
      <c r="E17" s="117">
        <v>1483</v>
      </c>
      <c r="F17" s="302">
        <v>91</v>
      </c>
      <c r="G17" s="303"/>
      <c r="H17" s="110"/>
      <c r="I17" s="94">
        <f>J17+K17</f>
        <v>221</v>
      </c>
      <c r="J17" s="117">
        <v>46</v>
      </c>
      <c r="K17" s="117">
        <v>175</v>
      </c>
    </row>
    <row r="18" spans="1:11" ht="13.5">
      <c r="A18" s="116">
        <v>62</v>
      </c>
      <c r="B18" s="110"/>
      <c r="C18" s="93">
        <f>D18+E18</f>
        <v>2881</v>
      </c>
      <c r="D18" s="117">
        <v>1460</v>
      </c>
      <c r="E18" s="117">
        <v>1421</v>
      </c>
      <c r="F18" s="302">
        <v>92</v>
      </c>
      <c r="G18" s="303"/>
      <c r="H18" s="110"/>
      <c r="I18" s="94">
        <f>J18+K18</f>
        <v>198</v>
      </c>
      <c r="J18" s="117">
        <v>37</v>
      </c>
      <c r="K18" s="117">
        <v>161</v>
      </c>
    </row>
    <row r="19" spans="1:11" ht="13.5">
      <c r="A19" s="116">
        <v>63</v>
      </c>
      <c r="B19" s="110"/>
      <c r="C19" s="93">
        <f>D19+E19</f>
        <v>2065</v>
      </c>
      <c r="D19" s="117">
        <v>997</v>
      </c>
      <c r="E19" s="117">
        <v>1068</v>
      </c>
      <c r="F19" s="302">
        <v>93</v>
      </c>
      <c r="G19" s="303"/>
      <c r="H19" s="110"/>
      <c r="I19" s="94">
        <f>J19+K19</f>
        <v>139</v>
      </c>
      <c r="J19" s="117">
        <v>23</v>
      </c>
      <c r="K19" s="117">
        <v>116</v>
      </c>
    </row>
    <row r="20" spans="1:11" ht="13.5">
      <c r="A20" s="116">
        <v>64</v>
      </c>
      <c r="B20" s="110"/>
      <c r="C20" s="93">
        <f>D20+E20</f>
        <v>1847</v>
      </c>
      <c r="D20" s="117">
        <v>877</v>
      </c>
      <c r="E20" s="117">
        <v>970</v>
      </c>
      <c r="F20" s="302">
        <v>94</v>
      </c>
      <c r="G20" s="303"/>
      <c r="H20" s="110"/>
      <c r="I20" s="94">
        <f>J20+K20</f>
        <v>141</v>
      </c>
      <c r="J20" s="117">
        <v>33</v>
      </c>
      <c r="K20" s="117">
        <v>108</v>
      </c>
    </row>
    <row r="21" spans="1:11" ht="6" customHeight="1">
      <c r="A21" s="116"/>
      <c r="B21" s="110"/>
      <c r="C21" s="93"/>
      <c r="D21" s="93"/>
      <c r="E21" s="93"/>
      <c r="F21" s="118"/>
      <c r="G21" s="116"/>
      <c r="H21" s="110"/>
      <c r="I21" s="94"/>
      <c r="J21" s="93"/>
      <c r="K21" s="93"/>
    </row>
    <row r="22" spans="1:11" ht="13.5">
      <c r="A22" s="3" t="s">
        <v>296</v>
      </c>
      <c r="B22" s="119"/>
      <c r="C22" s="22">
        <f>SUM(C24:C28)</f>
        <v>11141</v>
      </c>
      <c r="D22" s="22">
        <f>SUM(D24:D28)</f>
        <v>5299</v>
      </c>
      <c r="E22" s="22">
        <f>SUM(E24:E28)</f>
        <v>5842</v>
      </c>
      <c r="F22" s="272" t="s">
        <v>297</v>
      </c>
      <c r="G22" s="273"/>
      <c r="H22" s="119"/>
      <c r="I22" s="17">
        <f>SUM(I24:I28)</f>
        <v>301</v>
      </c>
      <c r="J22" s="22">
        <f>SUM(J24:J28)</f>
        <v>67</v>
      </c>
      <c r="K22" s="22">
        <f>SUM(K24:K28)</f>
        <v>234</v>
      </c>
    </row>
    <row r="23" spans="1:11" ht="3.75" customHeight="1">
      <c r="A23" s="116"/>
      <c r="B23" s="110"/>
      <c r="C23" s="93"/>
      <c r="D23" s="93"/>
      <c r="E23" s="93"/>
      <c r="F23" s="118"/>
      <c r="G23" s="116"/>
      <c r="H23" s="110"/>
      <c r="I23" s="94"/>
      <c r="J23" s="93"/>
      <c r="K23" s="93"/>
    </row>
    <row r="24" spans="1:11" ht="13.5">
      <c r="A24" s="116">
        <v>65</v>
      </c>
      <c r="B24" s="110"/>
      <c r="C24" s="93">
        <f>D24+E24</f>
        <v>2231</v>
      </c>
      <c r="D24" s="117">
        <v>1063</v>
      </c>
      <c r="E24" s="117">
        <v>1168</v>
      </c>
      <c r="F24" s="302">
        <v>95</v>
      </c>
      <c r="G24" s="303"/>
      <c r="H24" s="110"/>
      <c r="I24" s="94">
        <f>J24+K24</f>
        <v>105</v>
      </c>
      <c r="J24" s="117">
        <v>28</v>
      </c>
      <c r="K24" s="117">
        <v>77</v>
      </c>
    </row>
    <row r="25" spans="1:11" ht="13.5">
      <c r="A25" s="116">
        <v>66</v>
      </c>
      <c r="B25" s="110"/>
      <c r="C25" s="93">
        <f>D25+E25</f>
        <v>2383</v>
      </c>
      <c r="D25" s="117">
        <v>1118</v>
      </c>
      <c r="E25" s="117">
        <v>1265</v>
      </c>
      <c r="F25" s="302">
        <v>96</v>
      </c>
      <c r="G25" s="303"/>
      <c r="H25" s="110"/>
      <c r="I25" s="94">
        <f>J25+K25</f>
        <v>67</v>
      </c>
      <c r="J25" s="117">
        <v>9</v>
      </c>
      <c r="K25" s="117">
        <v>58</v>
      </c>
    </row>
    <row r="26" spans="1:11" ht="13.5">
      <c r="A26" s="116">
        <v>67</v>
      </c>
      <c r="B26" s="110"/>
      <c r="C26" s="93">
        <f>D26+E26</f>
        <v>2257</v>
      </c>
      <c r="D26" s="117">
        <v>1119</v>
      </c>
      <c r="E26" s="117">
        <v>1138</v>
      </c>
      <c r="F26" s="302">
        <v>97</v>
      </c>
      <c r="G26" s="303"/>
      <c r="H26" s="110"/>
      <c r="I26" s="94">
        <f>J26+K26</f>
        <v>58</v>
      </c>
      <c r="J26" s="117">
        <v>15</v>
      </c>
      <c r="K26" s="117">
        <v>43</v>
      </c>
    </row>
    <row r="27" spans="1:11" ht="13.5">
      <c r="A27" s="116">
        <v>68</v>
      </c>
      <c r="B27" s="110"/>
      <c r="C27" s="93">
        <f>D27+E27</f>
        <v>2251</v>
      </c>
      <c r="D27" s="117">
        <v>1068</v>
      </c>
      <c r="E27" s="117">
        <v>1183</v>
      </c>
      <c r="F27" s="302">
        <v>98</v>
      </c>
      <c r="G27" s="303"/>
      <c r="H27" s="110"/>
      <c r="I27" s="94">
        <f>J27+K27</f>
        <v>44</v>
      </c>
      <c r="J27" s="117">
        <v>10</v>
      </c>
      <c r="K27" s="117">
        <v>34</v>
      </c>
    </row>
    <row r="28" spans="1:11" ht="13.5">
      <c r="A28" s="116">
        <v>69</v>
      </c>
      <c r="B28" s="110"/>
      <c r="C28" s="93">
        <f>D28+E28</f>
        <v>2019</v>
      </c>
      <c r="D28" s="117">
        <v>931</v>
      </c>
      <c r="E28" s="117">
        <v>1088</v>
      </c>
      <c r="F28" s="302">
        <v>99</v>
      </c>
      <c r="G28" s="303"/>
      <c r="H28" s="110"/>
      <c r="I28" s="94">
        <f>J28+K28</f>
        <v>27</v>
      </c>
      <c r="J28" s="117">
        <v>5</v>
      </c>
      <c r="K28" s="117">
        <v>22</v>
      </c>
    </row>
    <row r="29" spans="1:11" ht="6" customHeight="1">
      <c r="A29" s="116"/>
      <c r="B29" s="110"/>
      <c r="C29" s="93"/>
      <c r="D29" s="93"/>
      <c r="E29" s="93"/>
      <c r="F29" s="109"/>
      <c r="G29" s="91"/>
      <c r="H29" s="110"/>
      <c r="I29" s="94"/>
      <c r="J29" s="93"/>
      <c r="K29" s="93"/>
    </row>
    <row r="30" spans="1:11" ht="13.5">
      <c r="A30" s="3" t="s">
        <v>301</v>
      </c>
      <c r="B30" s="119"/>
      <c r="C30" s="22">
        <f>SUM(C32:C36)</f>
        <v>8859</v>
      </c>
      <c r="D30" s="22">
        <f>SUM(D32:D36)</f>
        <v>4004</v>
      </c>
      <c r="E30" s="22">
        <f>SUM(E32:E36)</f>
        <v>4855</v>
      </c>
      <c r="F30" s="272" t="s">
        <v>184</v>
      </c>
      <c r="G30" s="273"/>
      <c r="H30" s="260"/>
      <c r="I30" s="17">
        <f>J30+K30</f>
        <v>50</v>
      </c>
      <c r="J30" s="22">
        <v>6</v>
      </c>
      <c r="K30" s="22">
        <v>44</v>
      </c>
    </row>
    <row r="31" spans="1:11" ht="3.75" customHeight="1">
      <c r="A31" s="116"/>
      <c r="B31" s="110"/>
      <c r="C31" s="93"/>
      <c r="D31" s="93"/>
      <c r="E31" s="93"/>
      <c r="F31" s="118"/>
      <c r="G31" s="116"/>
      <c r="H31" s="43"/>
      <c r="I31" s="94"/>
      <c r="J31" s="93"/>
      <c r="K31" s="93"/>
    </row>
    <row r="32" spans="1:11" ht="13.5">
      <c r="A32" s="116">
        <v>70</v>
      </c>
      <c r="B32" s="110"/>
      <c r="C32" s="93">
        <f>D32+E32</f>
        <v>1873</v>
      </c>
      <c r="D32" s="117">
        <v>837</v>
      </c>
      <c r="E32" s="117">
        <v>1036</v>
      </c>
      <c r="F32" s="302"/>
      <c r="G32" s="303"/>
      <c r="H32" s="259"/>
      <c r="I32" s="94"/>
      <c r="J32" s="94"/>
      <c r="K32" s="94"/>
    </row>
    <row r="33" spans="1:11" ht="13.5">
      <c r="A33" s="116">
        <v>71</v>
      </c>
      <c r="B33" s="110"/>
      <c r="C33" s="93">
        <f>D33+E33</f>
        <v>1719</v>
      </c>
      <c r="D33" s="117">
        <v>784</v>
      </c>
      <c r="E33" s="117">
        <v>935</v>
      </c>
      <c r="F33" s="265" t="s">
        <v>123</v>
      </c>
      <c r="G33" s="266"/>
      <c r="H33" s="267"/>
      <c r="I33" s="94" t="s">
        <v>298</v>
      </c>
      <c r="J33" s="94" t="s">
        <v>298</v>
      </c>
      <c r="K33" s="94" t="s">
        <v>298</v>
      </c>
    </row>
    <row r="34" spans="1:11" ht="13.5">
      <c r="A34" s="116">
        <v>72</v>
      </c>
      <c r="B34" s="110"/>
      <c r="C34" s="93">
        <f>D34+E34</f>
        <v>1816</v>
      </c>
      <c r="D34" s="117">
        <v>810</v>
      </c>
      <c r="E34" s="117">
        <v>1006</v>
      </c>
      <c r="F34" s="268" t="s">
        <v>119</v>
      </c>
      <c r="G34" s="269"/>
      <c r="H34" s="270"/>
      <c r="I34" s="127"/>
      <c r="J34" s="127"/>
      <c r="K34" s="127"/>
    </row>
    <row r="35" spans="1:11" ht="13.5" customHeight="1">
      <c r="A35" s="116">
        <v>73</v>
      </c>
      <c r="B35" s="110"/>
      <c r="C35" s="93">
        <f>D35+E35</f>
        <v>1746</v>
      </c>
      <c r="D35" s="117">
        <v>800</v>
      </c>
      <c r="E35" s="117">
        <v>946</v>
      </c>
      <c r="F35" s="282" t="s">
        <v>257</v>
      </c>
      <c r="G35" s="283"/>
      <c r="H35" s="284"/>
      <c r="I35" s="94">
        <f>J35+K35</f>
        <v>22594</v>
      </c>
      <c r="J35" s="94">
        <f>SUM('1 人口 4'!D14,'1 人口 4'!D22,'1 人口 4'!D30)</f>
        <v>11563</v>
      </c>
      <c r="K35" s="94">
        <f>SUM('1 人口 4'!E14,'1 人口 4'!E22,'1 人口 4'!E30)</f>
        <v>11031</v>
      </c>
    </row>
    <row r="36" spans="1:11" ht="13.5" customHeight="1">
      <c r="A36" s="116">
        <v>74</v>
      </c>
      <c r="B36" s="110"/>
      <c r="C36" s="93">
        <f>D36+E36</f>
        <v>1705</v>
      </c>
      <c r="D36" s="117">
        <v>773</v>
      </c>
      <c r="E36" s="117">
        <v>932</v>
      </c>
      <c r="F36" s="282" t="s">
        <v>258</v>
      </c>
      <c r="G36" s="283"/>
      <c r="H36" s="284"/>
      <c r="I36" s="251">
        <f>J36+K36</f>
        <v>117082</v>
      </c>
      <c r="J36" s="257">
        <f>SUM('1 人口 4'!D38,'1 人口 4'!D46,'1 人口 4'!J6,'1 人口 4'!J14,'1 人口 4'!J22,'1 人口 4'!J30,'1 人口 4'!J38,'1 人口 4'!J46,D6,D14)</f>
        <v>60885</v>
      </c>
      <c r="K36" s="257">
        <f>SUM('1 人口 4'!E38,'1 人口 4'!E46,'1 人口 4'!K6,'1 人口 4'!K14,'1 人口 4'!K22,'1 人口 4'!K30,'1 人口 4'!K38,'1 人口 4'!K46,E6,E14)</f>
        <v>56197</v>
      </c>
    </row>
    <row r="37" spans="1:11" ht="6" customHeight="1">
      <c r="A37" s="116"/>
      <c r="B37" s="110"/>
      <c r="C37" s="93"/>
      <c r="D37" s="93"/>
      <c r="E37" s="93"/>
      <c r="F37" s="282"/>
      <c r="G37" s="283"/>
      <c r="H37" s="284"/>
      <c r="I37" s="251"/>
      <c r="J37" s="257"/>
      <c r="K37" s="257"/>
    </row>
    <row r="38" spans="1:11" ht="13.5">
      <c r="A38" s="3" t="s">
        <v>302</v>
      </c>
      <c r="B38" s="119"/>
      <c r="C38" s="22">
        <f>SUM(C40:C44)</f>
        <v>6838</v>
      </c>
      <c r="D38" s="22">
        <f>SUM(D40:D44)</f>
        <v>3025</v>
      </c>
      <c r="E38" s="22">
        <f>SUM(E40:E44)</f>
        <v>3813</v>
      </c>
      <c r="F38" s="282" t="s">
        <v>259</v>
      </c>
      <c r="G38" s="283"/>
      <c r="H38" s="284"/>
      <c r="I38" s="65">
        <f>J38+K38</f>
        <v>34782</v>
      </c>
      <c r="J38" s="113">
        <f>J40+J41</f>
        <v>14966</v>
      </c>
      <c r="K38" s="113">
        <f>K40+K41</f>
        <v>19816</v>
      </c>
    </row>
    <row r="39" spans="1:11" ht="3.75" customHeight="1">
      <c r="A39" s="116"/>
      <c r="B39" s="110"/>
      <c r="C39" s="93"/>
      <c r="D39" s="93"/>
      <c r="E39" s="93"/>
      <c r="F39" s="118"/>
      <c r="G39" s="36"/>
      <c r="H39" s="71"/>
      <c r="I39" s="93"/>
      <c r="J39" s="94"/>
      <c r="K39" s="94"/>
    </row>
    <row r="40" spans="1:11" ht="13.5" customHeight="1">
      <c r="A40" s="116">
        <v>75</v>
      </c>
      <c r="B40" s="110"/>
      <c r="C40" s="93">
        <f>D40+E40</f>
        <v>1501</v>
      </c>
      <c r="D40" s="117">
        <v>690</v>
      </c>
      <c r="E40" s="117">
        <v>811</v>
      </c>
      <c r="F40" s="132"/>
      <c r="G40" s="285" t="s">
        <v>120</v>
      </c>
      <c r="H40" s="250"/>
      <c r="I40" s="94">
        <f>J40+K40</f>
        <v>20000</v>
      </c>
      <c r="J40" s="94">
        <f>D22+D30</f>
        <v>9303</v>
      </c>
      <c r="K40" s="94">
        <f>E22+E30</f>
        <v>10697</v>
      </c>
    </row>
    <row r="41" spans="1:11" ht="13.5" customHeight="1">
      <c r="A41" s="116">
        <v>76</v>
      </c>
      <c r="B41" s="110"/>
      <c r="C41" s="93">
        <f>D41+E41</f>
        <v>1456</v>
      </c>
      <c r="D41" s="117">
        <v>649</v>
      </c>
      <c r="E41" s="117">
        <v>807</v>
      </c>
      <c r="F41" s="132"/>
      <c r="G41" s="285" t="s">
        <v>121</v>
      </c>
      <c r="H41" s="286"/>
      <c r="I41" s="94">
        <f>J41+K41</f>
        <v>14782</v>
      </c>
      <c r="J41" s="94">
        <f>D38+D46+J6+J14+J22+J30</f>
        <v>5663</v>
      </c>
      <c r="K41" s="94">
        <f>E38+E46+K6+K14+K22+K30</f>
        <v>9119</v>
      </c>
    </row>
    <row r="42" spans="1:11" ht="13.5" customHeight="1">
      <c r="A42" s="116">
        <v>77</v>
      </c>
      <c r="B42" s="110"/>
      <c r="C42" s="93">
        <f>D42+E42</f>
        <v>1445</v>
      </c>
      <c r="D42" s="117">
        <v>651</v>
      </c>
      <c r="E42" s="117">
        <v>794</v>
      </c>
      <c r="F42" s="133"/>
      <c r="G42" s="36"/>
      <c r="H42" s="71"/>
      <c r="I42" s="128"/>
      <c r="J42" s="128"/>
      <c r="K42" s="128"/>
    </row>
    <row r="43" spans="1:11" ht="13.5" customHeight="1">
      <c r="A43" s="116">
        <v>78</v>
      </c>
      <c r="B43" s="110"/>
      <c r="C43" s="93">
        <f>D43+E43</f>
        <v>1286</v>
      </c>
      <c r="D43" s="117">
        <v>540</v>
      </c>
      <c r="E43" s="117">
        <v>746</v>
      </c>
      <c r="F43" s="276" t="s">
        <v>299</v>
      </c>
      <c r="G43" s="277"/>
      <c r="H43" s="278"/>
      <c r="I43" s="263"/>
      <c r="J43" s="264"/>
      <c r="K43" s="264"/>
    </row>
    <row r="44" spans="1:11" ht="13.5" customHeight="1">
      <c r="A44" s="116">
        <v>79</v>
      </c>
      <c r="B44" s="110"/>
      <c r="C44" s="93">
        <f>D44+E44</f>
        <v>1150</v>
      </c>
      <c r="D44" s="117">
        <v>495</v>
      </c>
      <c r="E44" s="117">
        <v>655</v>
      </c>
      <c r="F44" s="282" t="s">
        <v>257</v>
      </c>
      <c r="G44" s="283"/>
      <c r="H44" s="284"/>
      <c r="I44" s="129">
        <f>I35/'1 人口 4'!C6*100</f>
        <v>12.950968141329145</v>
      </c>
      <c r="J44" s="129">
        <f>J35/'1 人口 4'!D6*100</f>
        <v>13.227858237810878</v>
      </c>
      <c r="K44" s="129">
        <f>K35/'1 人口 4'!E6*100</f>
        <v>12.6729010615321</v>
      </c>
    </row>
    <row r="45" spans="1:11" ht="6" customHeight="1">
      <c r="A45" s="116"/>
      <c r="B45" s="110"/>
      <c r="C45" s="93"/>
      <c r="D45" s="93"/>
      <c r="E45" s="93"/>
      <c r="F45" s="282" t="s">
        <v>258</v>
      </c>
      <c r="G45" s="283"/>
      <c r="H45" s="284"/>
      <c r="I45" s="281">
        <f>I36/'1 人口 4'!C6*100</f>
        <v>67.11185500235014</v>
      </c>
      <c r="J45" s="281">
        <f>J36/'1 人口 4'!D6*100</f>
        <v>69.65131443475873</v>
      </c>
      <c r="K45" s="281">
        <f>K36/'1 人口 4'!E6*100</f>
        <v>64.56160102936445</v>
      </c>
    </row>
    <row r="46" spans="1:11" ht="13.5">
      <c r="A46" s="3" t="s">
        <v>303</v>
      </c>
      <c r="B46" s="119"/>
      <c r="C46" s="22">
        <f>SUM(C48:C53)</f>
        <v>4330</v>
      </c>
      <c r="D46" s="22">
        <f>SUM(D48:D53)</f>
        <v>1721</v>
      </c>
      <c r="E46" s="22">
        <f>SUM(E48:E53)</f>
        <v>2609</v>
      </c>
      <c r="F46" s="282"/>
      <c r="G46" s="283"/>
      <c r="H46" s="284"/>
      <c r="I46" s="281"/>
      <c r="J46" s="281"/>
      <c r="K46" s="281"/>
    </row>
    <row r="47" spans="1:11" ht="3.75" customHeight="1">
      <c r="A47" s="116"/>
      <c r="B47" s="110"/>
      <c r="C47" s="93"/>
      <c r="D47" s="93"/>
      <c r="E47" s="93"/>
      <c r="F47" s="282" t="s">
        <v>259</v>
      </c>
      <c r="G47" s="283"/>
      <c r="H47" s="284"/>
      <c r="I47" s="252">
        <f>I38/'1 人口 4'!C6*100</f>
        <v>19.93717685632072</v>
      </c>
      <c r="J47" s="252">
        <f>J38/'1 人口 4'!D6*100</f>
        <v>17.120827327430387</v>
      </c>
      <c r="K47" s="252">
        <f>K38/'1 人口 4'!E6*100</f>
        <v>22.76549790910344</v>
      </c>
    </row>
    <row r="48" spans="1:11" ht="9.75" customHeight="1">
      <c r="A48" s="303">
        <v>80</v>
      </c>
      <c r="B48" s="110"/>
      <c r="C48" s="280">
        <f>D48+E48</f>
        <v>1045</v>
      </c>
      <c r="D48" s="279">
        <v>441</v>
      </c>
      <c r="E48" s="279">
        <v>604</v>
      </c>
      <c r="F48" s="282"/>
      <c r="G48" s="283"/>
      <c r="H48" s="284"/>
      <c r="I48" s="252"/>
      <c r="J48" s="252"/>
      <c r="K48" s="252"/>
    </row>
    <row r="49" spans="1:11" ht="3.75" customHeight="1">
      <c r="A49" s="303"/>
      <c r="B49" s="110"/>
      <c r="C49" s="280"/>
      <c r="D49" s="279"/>
      <c r="E49" s="279"/>
      <c r="F49" s="132"/>
      <c r="G49" s="36"/>
      <c r="H49" s="71"/>
      <c r="I49" s="33"/>
      <c r="J49" s="33"/>
      <c r="K49" s="33"/>
    </row>
    <row r="50" spans="1:11" ht="13.5">
      <c r="A50" s="116">
        <v>81</v>
      </c>
      <c r="B50" s="110"/>
      <c r="C50" s="93">
        <f>D50+E50</f>
        <v>1011</v>
      </c>
      <c r="D50" s="117">
        <v>412</v>
      </c>
      <c r="E50" s="117">
        <v>599</v>
      </c>
      <c r="F50" s="132"/>
      <c r="G50" s="285" t="s">
        <v>120</v>
      </c>
      <c r="H50" s="258"/>
      <c r="I50" s="129">
        <f>I40/'1 人口 4'!C6*100</f>
        <v>11.464077313737404</v>
      </c>
      <c r="J50" s="129">
        <f>J40/'1 人口 4'!D6*100</f>
        <v>10.642460017846112</v>
      </c>
      <c r="K50" s="129">
        <f>K40/'1 人口 4'!E6*100</f>
        <v>12.289187077799733</v>
      </c>
    </row>
    <row r="51" spans="1:11" ht="13.5">
      <c r="A51" s="116">
        <v>82</v>
      </c>
      <c r="B51" s="110"/>
      <c r="C51" s="93">
        <f>D51+E51</f>
        <v>829</v>
      </c>
      <c r="D51" s="117">
        <v>340</v>
      </c>
      <c r="E51" s="117">
        <v>489</v>
      </c>
      <c r="F51" s="111"/>
      <c r="G51" s="285" t="s">
        <v>121</v>
      </c>
      <c r="H51" s="258"/>
      <c r="I51" s="129">
        <f>I41/'1 人口 4'!C6*100</f>
        <v>8.473099542583315</v>
      </c>
      <c r="J51" s="129">
        <f>J41/'1 人口 4'!D6*100</f>
        <v>6.478367309584278</v>
      </c>
      <c r="K51" s="129">
        <f>K41/'1 人口 4'!E6*100</f>
        <v>10.476310831303708</v>
      </c>
    </row>
    <row r="52" spans="1:11" ht="13.5">
      <c r="A52" s="116">
        <v>83</v>
      </c>
      <c r="B52" s="110"/>
      <c r="C52" s="93">
        <f>D52+E52</f>
        <v>745</v>
      </c>
      <c r="D52" s="117">
        <v>282</v>
      </c>
      <c r="E52" s="117">
        <v>463</v>
      </c>
      <c r="F52" s="133"/>
      <c r="G52" s="36"/>
      <c r="H52" s="71"/>
      <c r="I52" s="33"/>
      <c r="J52" s="33"/>
      <c r="K52" s="33"/>
    </row>
    <row r="53" spans="1:11" ht="13.5">
      <c r="A53" s="116">
        <v>84</v>
      </c>
      <c r="B53" s="110"/>
      <c r="C53" s="93">
        <f>D53+E53</f>
        <v>700</v>
      </c>
      <c r="D53" s="117">
        <v>246</v>
      </c>
      <c r="E53" s="117">
        <v>454</v>
      </c>
      <c r="F53" s="261" t="s">
        <v>122</v>
      </c>
      <c r="G53" s="300"/>
      <c r="H53" s="262"/>
      <c r="I53" s="227">
        <v>42.5</v>
      </c>
      <c r="J53" s="228">
        <v>41.2</v>
      </c>
      <c r="K53" s="228">
        <v>43.9</v>
      </c>
    </row>
    <row r="54" spans="1:11" ht="6" customHeight="1">
      <c r="A54" s="140"/>
      <c r="B54" s="121"/>
      <c r="C54" s="93"/>
      <c r="D54" s="93"/>
      <c r="E54" s="93"/>
      <c r="F54" s="134"/>
      <c r="G54" s="87"/>
      <c r="H54" s="44"/>
      <c r="I54" s="131"/>
      <c r="J54" s="131"/>
      <c r="K54" s="131"/>
    </row>
    <row r="55" spans="1:11" ht="13.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</row>
  </sheetData>
  <mergeCells count="50">
    <mergeCell ref="F53:H53"/>
    <mergeCell ref="I43:K43"/>
    <mergeCell ref="F33:H33"/>
    <mergeCell ref="F34:H34"/>
    <mergeCell ref="G40:H40"/>
    <mergeCell ref="I36:I37"/>
    <mergeCell ref="K47:K48"/>
    <mergeCell ref="J47:J48"/>
    <mergeCell ref="I47:I48"/>
    <mergeCell ref="F47:H48"/>
    <mergeCell ref="F6:G6"/>
    <mergeCell ref="A4:B4"/>
    <mergeCell ref="F4:H4"/>
    <mergeCell ref="F9:G9"/>
    <mergeCell ref="F8:G8"/>
    <mergeCell ref="F28:G28"/>
    <mergeCell ref="F30:H30"/>
    <mergeCell ref="F20:G20"/>
    <mergeCell ref="F10:G10"/>
    <mergeCell ref="F11:G11"/>
    <mergeCell ref="F12:G12"/>
    <mergeCell ref="F14:G14"/>
    <mergeCell ref="F16:G16"/>
    <mergeCell ref="F17:G17"/>
    <mergeCell ref="F18:G18"/>
    <mergeCell ref="F19:G19"/>
    <mergeCell ref="G50:H50"/>
    <mergeCell ref="G51:H51"/>
    <mergeCell ref="F45:H46"/>
    <mergeCell ref="F22:G22"/>
    <mergeCell ref="F24:G24"/>
    <mergeCell ref="F25:G25"/>
    <mergeCell ref="F35:H35"/>
    <mergeCell ref="F32:H32"/>
    <mergeCell ref="F26:G26"/>
    <mergeCell ref="F27:G27"/>
    <mergeCell ref="K45:K46"/>
    <mergeCell ref="J45:J46"/>
    <mergeCell ref="I45:I46"/>
    <mergeCell ref="F44:H44"/>
    <mergeCell ref="F36:H37"/>
    <mergeCell ref="F38:H38"/>
    <mergeCell ref="G41:H41"/>
    <mergeCell ref="K36:K37"/>
    <mergeCell ref="J36:J37"/>
    <mergeCell ref="F43:H43"/>
    <mergeCell ref="D48:D49"/>
    <mergeCell ref="C48:C49"/>
    <mergeCell ref="A48:A49"/>
    <mergeCell ref="E48:E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&amp;R&amp;8人　口　　　　35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31">
      <selection activeCell="U56" sqref="U56"/>
    </sheetView>
  </sheetViews>
  <sheetFormatPr defaultColWidth="9.00390625" defaultRowHeight="13.5"/>
  <cols>
    <col min="1" max="1" width="6.875" style="33" customWidth="1"/>
    <col min="2" max="5" width="3.50390625" style="33" customWidth="1"/>
    <col min="6" max="6" width="6.875" style="33" customWidth="1"/>
    <col min="7" max="7" width="6.25390625" style="33" customWidth="1"/>
    <col min="8" max="9" width="3.125" style="33" customWidth="1"/>
    <col min="10" max="11" width="6.25390625" style="33" customWidth="1"/>
    <col min="12" max="13" width="3.125" style="33" customWidth="1"/>
    <col min="14" max="15" width="6.25390625" style="33" customWidth="1"/>
    <col min="16" max="17" width="3.125" style="33" customWidth="1"/>
    <col min="18" max="18" width="6.25390625" style="33" customWidth="1"/>
    <col min="19" max="16384" width="9.00390625" style="33" customWidth="1"/>
  </cols>
  <sheetData>
    <row r="1" spans="1:18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0.25" customHeight="1">
      <c r="A2" s="26" t="s">
        <v>249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2.75" customHeight="1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40" t="s">
        <v>0</v>
      </c>
    </row>
    <row r="4" spans="1:18" s="38" customFormat="1" ht="12.75" customHeight="1">
      <c r="A4" s="319" t="s">
        <v>1</v>
      </c>
      <c r="B4" s="245" t="s">
        <v>169</v>
      </c>
      <c r="C4" s="245"/>
      <c r="D4" s="245"/>
      <c r="E4" s="245"/>
      <c r="F4" s="245"/>
      <c r="G4" s="245"/>
      <c r="H4" s="245"/>
      <c r="I4" s="245"/>
      <c r="J4" s="245"/>
      <c r="K4" s="245" t="s">
        <v>12</v>
      </c>
      <c r="L4" s="245"/>
      <c r="M4" s="245"/>
      <c r="N4" s="245"/>
      <c r="O4" s="245" t="s">
        <v>44</v>
      </c>
      <c r="P4" s="245"/>
      <c r="Q4" s="245"/>
      <c r="R4" s="307"/>
    </row>
    <row r="5" spans="1:18" s="38" customFormat="1" ht="3.75" customHeight="1">
      <c r="A5" s="320"/>
      <c r="B5" s="241" t="s">
        <v>6</v>
      </c>
      <c r="C5" s="241"/>
      <c r="D5" s="241" t="s">
        <v>7</v>
      </c>
      <c r="E5" s="241"/>
      <c r="F5" s="241"/>
      <c r="G5" s="241"/>
      <c r="H5" s="241" t="s">
        <v>170</v>
      </c>
      <c r="I5" s="241"/>
      <c r="J5" s="241"/>
      <c r="K5" s="241" t="s">
        <v>6</v>
      </c>
      <c r="L5" s="241" t="s">
        <v>167</v>
      </c>
      <c r="M5" s="249"/>
      <c r="N5" s="59"/>
      <c r="O5" s="241" t="s">
        <v>6</v>
      </c>
      <c r="P5" s="241" t="s">
        <v>167</v>
      </c>
      <c r="Q5" s="249"/>
      <c r="R5" s="157"/>
    </row>
    <row r="6" spans="1:18" s="38" customFormat="1" ht="11.25" customHeight="1">
      <c r="A6" s="32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324" t="s">
        <v>43</v>
      </c>
      <c r="O6" s="241"/>
      <c r="P6" s="241"/>
      <c r="Q6" s="241"/>
      <c r="R6" s="325" t="s">
        <v>43</v>
      </c>
    </row>
    <row r="7" spans="1:18" s="38" customFormat="1" ht="6" customHeight="1">
      <c r="A7" s="320"/>
      <c r="B7" s="241"/>
      <c r="C7" s="241"/>
      <c r="D7" s="241" t="s">
        <v>60</v>
      </c>
      <c r="E7" s="241"/>
      <c r="F7" s="241" t="s">
        <v>9</v>
      </c>
      <c r="G7" s="241" t="s">
        <v>10</v>
      </c>
      <c r="H7" s="241" t="s">
        <v>166</v>
      </c>
      <c r="I7" s="241"/>
      <c r="J7" s="323" t="s">
        <v>168</v>
      </c>
      <c r="K7" s="241"/>
      <c r="L7" s="241"/>
      <c r="M7" s="241"/>
      <c r="N7" s="324"/>
      <c r="O7" s="241"/>
      <c r="P7" s="241"/>
      <c r="Q7" s="241"/>
      <c r="R7" s="326"/>
    </row>
    <row r="8" spans="1:18" s="38" customFormat="1" ht="6" customHeight="1">
      <c r="A8" s="320"/>
      <c r="B8" s="241"/>
      <c r="C8" s="241"/>
      <c r="D8" s="241"/>
      <c r="E8" s="241"/>
      <c r="F8" s="241"/>
      <c r="G8" s="241"/>
      <c r="H8" s="241"/>
      <c r="I8" s="241"/>
      <c r="J8" s="324"/>
      <c r="K8" s="241"/>
      <c r="L8" s="241"/>
      <c r="M8" s="241"/>
      <c r="N8" s="329" t="s">
        <v>166</v>
      </c>
      <c r="O8" s="241"/>
      <c r="P8" s="241"/>
      <c r="Q8" s="241"/>
      <c r="R8" s="327" t="s">
        <v>166</v>
      </c>
    </row>
    <row r="9" spans="1:18" s="38" customFormat="1" ht="10.5" customHeight="1">
      <c r="A9" s="320"/>
      <c r="B9" s="241"/>
      <c r="C9" s="241"/>
      <c r="D9" s="241"/>
      <c r="E9" s="241"/>
      <c r="F9" s="241"/>
      <c r="G9" s="241"/>
      <c r="H9" s="241"/>
      <c r="I9" s="241"/>
      <c r="J9" s="158" t="s">
        <v>253</v>
      </c>
      <c r="K9" s="241"/>
      <c r="L9" s="241"/>
      <c r="M9" s="241"/>
      <c r="N9" s="330"/>
      <c r="O9" s="241"/>
      <c r="P9" s="241"/>
      <c r="Q9" s="241"/>
      <c r="R9" s="328"/>
    </row>
    <row r="10" spans="1:17" s="38" customFormat="1" ht="3.75" customHeight="1">
      <c r="A10" s="41"/>
      <c r="B10" s="244"/>
      <c r="C10" s="244"/>
      <c r="D10" s="244"/>
      <c r="E10" s="244"/>
      <c r="H10" s="244"/>
      <c r="I10" s="244"/>
      <c r="L10" s="244"/>
      <c r="M10" s="244"/>
      <c r="P10" s="244"/>
      <c r="Q10" s="244"/>
    </row>
    <row r="11" spans="1:18" s="38" customFormat="1" ht="12.75" customHeight="1">
      <c r="A11" s="159">
        <v>18</v>
      </c>
      <c r="B11" s="322">
        <v>77170</v>
      </c>
      <c r="C11" s="256"/>
      <c r="D11" s="247">
        <f>SUM(F11:G11)</f>
        <v>169768</v>
      </c>
      <c r="E11" s="247"/>
      <c r="F11" s="151">
        <v>84887</v>
      </c>
      <c r="G11" s="151">
        <v>84881</v>
      </c>
      <c r="H11" s="247">
        <v>940</v>
      </c>
      <c r="I11" s="247"/>
      <c r="J11" s="160">
        <v>0.56</v>
      </c>
      <c r="K11" s="151">
        <v>9020</v>
      </c>
      <c r="L11" s="247">
        <v>19642</v>
      </c>
      <c r="M11" s="247"/>
      <c r="N11" s="151">
        <v>172</v>
      </c>
      <c r="O11" s="151">
        <v>4572</v>
      </c>
      <c r="P11" s="254">
        <v>9549</v>
      </c>
      <c r="Q11" s="254"/>
      <c r="R11" s="151">
        <v>-39</v>
      </c>
    </row>
    <row r="12" spans="1:18" s="38" customFormat="1" ht="12.75" customHeight="1">
      <c r="A12" s="159">
        <v>19</v>
      </c>
      <c r="B12" s="322">
        <v>78581</v>
      </c>
      <c r="C12" s="256"/>
      <c r="D12" s="247">
        <f>SUM(F12:G12)</f>
        <v>171325</v>
      </c>
      <c r="E12" s="247"/>
      <c r="F12" s="151">
        <v>85685</v>
      </c>
      <c r="G12" s="151">
        <v>85640</v>
      </c>
      <c r="H12" s="247">
        <f>D12-D11</f>
        <v>1557</v>
      </c>
      <c r="I12" s="247"/>
      <c r="J12" s="160">
        <f>D12/D11*100-100</f>
        <v>0.9171339710663915</v>
      </c>
      <c r="K12" s="151">
        <v>9084</v>
      </c>
      <c r="L12" s="247">
        <v>19568</v>
      </c>
      <c r="M12" s="247"/>
      <c r="N12" s="151">
        <v>-74</v>
      </c>
      <c r="O12" s="151">
        <v>4592</v>
      </c>
      <c r="P12" s="254">
        <v>9464</v>
      </c>
      <c r="Q12" s="254"/>
      <c r="R12" s="151">
        <f>P12-P11</f>
        <v>-85</v>
      </c>
    </row>
    <row r="13" spans="1:18" s="38" customFormat="1" ht="12.75" customHeight="1">
      <c r="A13" s="159">
        <v>20</v>
      </c>
      <c r="B13" s="322">
        <v>79876</v>
      </c>
      <c r="C13" s="256"/>
      <c r="D13" s="247">
        <f>SUM(F13:G13)</f>
        <v>172547</v>
      </c>
      <c r="E13" s="247"/>
      <c r="F13" s="151">
        <v>86300</v>
      </c>
      <c r="G13" s="151">
        <v>86247</v>
      </c>
      <c r="H13" s="247">
        <f>D13-D12</f>
        <v>1222</v>
      </c>
      <c r="I13" s="247"/>
      <c r="J13" s="160">
        <f>D13/D12*100-100</f>
        <v>0.7132642638260478</v>
      </c>
      <c r="K13" s="151">
        <v>9204</v>
      </c>
      <c r="L13" s="247">
        <v>19627</v>
      </c>
      <c r="M13" s="247"/>
      <c r="N13" s="151">
        <v>59</v>
      </c>
      <c r="O13" s="151">
        <v>4612</v>
      </c>
      <c r="P13" s="247">
        <v>9440</v>
      </c>
      <c r="Q13" s="247"/>
      <c r="R13" s="151">
        <f>P13-P12</f>
        <v>-24</v>
      </c>
    </row>
    <row r="14" spans="1:18" s="38" customFormat="1" ht="12.75" customHeight="1">
      <c r="A14" s="159">
        <v>21</v>
      </c>
      <c r="B14" s="256">
        <v>80942</v>
      </c>
      <c r="C14" s="247"/>
      <c r="D14" s="247">
        <f>SUM(F14:G14)</f>
        <v>173692</v>
      </c>
      <c r="E14" s="247"/>
      <c r="F14" s="151">
        <v>86925</v>
      </c>
      <c r="G14" s="151">
        <v>86767</v>
      </c>
      <c r="H14" s="247">
        <f>D14-D13</f>
        <v>1145</v>
      </c>
      <c r="I14" s="247"/>
      <c r="J14" s="160">
        <f>D14/D13*100-100</f>
        <v>0.6635873124424023</v>
      </c>
      <c r="K14" s="151">
        <v>9190</v>
      </c>
      <c r="L14" s="247">
        <v>19464</v>
      </c>
      <c r="M14" s="247"/>
      <c r="N14" s="151">
        <v>-163</v>
      </c>
      <c r="O14" s="151">
        <v>4645</v>
      </c>
      <c r="P14" s="247">
        <v>9506</v>
      </c>
      <c r="Q14" s="247"/>
      <c r="R14" s="151">
        <f>P14-P13</f>
        <v>66</v>
      </c>
    </row>
    <row r="15" spans="1:18" s="214" customFormat="1" ht="12.75" customHeight="1">
      <c r="A15" s="173">
        <v>22</v>
      </c>
      <c r="B15" s="255">
        <v>81794</v>
      </c>
      <c r="C15" s="246"/>
      <c r="D15" s="246">
        <f>SUM(F15:G15)</f>
        <v>174458</v>
      </c>
      <c r="E15" s="246"/>
      <c r="F15" s="152">
        <v>87414</v>
      </c>
      <c r="G15" s="152">
        <v>87044</v>
      </c>
      <c r="H15" s="246">
        <f>D15-D14</f>
        <v>766</v>
      </c>
      <c r="I15" s="246"/>
      <c r="J15" s="174">
        <f>D15/D14*100-100</f>
        <v>0.44101052437648036</v>
      </c>
      <c r="K15" s="152">
        <v>9339</v>
      </c>
      <c r="L15" s="246">
        <v>19552</v>
      </c>
      <c r="M15" s="246"/>
      <c r="N15" s="152">
        <v>88</v>
      </c>
      <c r="O15" s="152">
        <v>4756</v>
      </c>
      <c r="P15" s="246">
        <v>9656</v>
      </c>
      <c r="Q15" s="246"/>
      <c r="R15" s="152">
        <v>150</v>
      </c>
    </row>
    <row r="16" spans="1:18" s="38" customFormat="1" ht="3.75" customHeight="1">
      <c r="A16" s="161"/>
      <c r="B16" s="244"/>
      <c r="C16" s="244"/>
      <c r="D16" s="248"/>
      <c r="E16" s="248"/>
      <c r="F16" s="153"/>
      <c r="G16" s="153"/>
      <c r="H16" s="248"/>
      <c r="I16" s="248"/>
      <c r="J16" s="153"/>
      <c r="K16" s="153"/>
      <c r="L16" s="248"/>
      <c r="M16" s="248"/>
      <c r="N16" s="153"/>
      <c r="O16" s="153"/>
      <c r="P16" s="248"/>
      <c r="Q16" s="248"/>
      <c r="R16" s="153"/>
    </row>
    <row r="17" spans="1:18" s="38" customFormat="1" ht="12.75" customHeight="1">
      <c r="A17" s="319" t="s">
        <v>1</v>
      </c>
      <c r="B17" s="245" t="s">
        <v>45</v>
      </c>
      <c r="C17" s="245"/>
      <c r="D17" s="245"/>
      <c r="E17" s="245"/>
      <c r="F17" s="245"/>
      <c r="G17" s="245" t="s">
        <v>46</v>
      </c>
      <c r="H17" s="245"/>
      <c r="I17" s="245"/>
      <c r="J17" s="245"/>
      <c r="K17" s="245" t="s">
        <v>171</v>
      </c>
      <c r="L17" s="245"/>
      <c r="M17" s="245"/>
      <c r="N17" s="245"/>
      <c r="O17" s="245" t="s">
        <v>47</v>
      </c>
      <c r="P17" s="245"/>
      <c r="Q17" s="245"/>
      <c r="R17" s="307"/>
    </row>
    <row r="18" spans="1:18" s="38" customFormat="1" ht="3.75" customHeight="1">
      <c r="A18" s="320"/>
      <c r="B18" s="241" t="s">
        <v>6</v>
      </c>
      <c r="C18" s="241"/>
      <c r="D18" s="241" t="s">
        <v>167</v>
      </c>
      <c r="E18" s="249"/>
      <c r="F18" s="59"/>
      <c r="G18" s="241" t="s">
        <v>6</v>
      </c>
      <c r="H18" s="241" t="s">
        <v>167</v>
      </c>
      <c r="I18" s="249"/>
      <c r="J18" s="59"/>
      <c r="K18" s="241" t="s">
        <v>6</v>
      </c>
      <c r="L18" s="241" t="s">
        <v>167</v>
      </c>
      <c r="M18" s="249"/>
      <c r="N18" s="59"/>
      <c r="O18" s="241" t="s">
        <v>6</v>
      </c>
      <c r="P18" s="241" t="s">
        <v>167</v>
      </c>
      <c r="Q18" s="249"/>
      <c r="R18" s="157"/>
    </row>
    <row r="19" spans="1:18" s="38" customFormat="1" ht="10.5" customHeight="1">
      <c r="A19" s="320"/>
      <c r="B19" s="241"/>
      <c r="C19" s="241"/>
      <c r="D19" s="241"/>
      <c r="E19" s="241"/>
      <c r="F19" s="51" t="s">
        <v>43</v>
      </c>
      <c r="G19" s="241"/>
      <c r="H19" s="241"/>
      <c r="I19" s="241"/>
      <c r="J19" s="51" t="s">
        <v>43</v>
      </c>
      <c r="K19" s="241"/>
      <c r="L19" s="241"/>
      <c r="M19" s="241"/>
      <c r="N19" s="51" t="s">
        <v>43</v>
      </c>
      <c r="O19" s="241"/>
      <c r="P19" s="241"/>
      <c r="Q19" s="241"/>
      <c r="R19" s="46" t="s">
        <v>43</v>
      </c>
    </row>
    <row r="20" spans="1:18" s="38" customFormat="1" ht="10.5" customHeight="1">
      <c r="A20" s="320"/>
      <c r="B20" s="241"/>
      <c r="C20" s="241"/>
      <c r="D20" s="241"/>
      <c r="E20" s="241"/>
      <c r="F20" s="50" t="s">
        <v>166</v>
      </c>
      <c r="G20" s="241"/>
      <c r="H20" s="241"/>
      <c r="I20" s="241"/>
      <c r="J20" s="50" t="s">
        <v>166</v>
      </c>
      <c r="K20" s="241"/>
      <c r="L20" s="241"/>
      <c r="M20" s="241"/>
      <c r="N20" s="50" t="s">
        <v>166</v>
      </c>
      <c r="O20" s="241"/>
      <c r="P20" s="241"/>
      <c r="Q20" s="241"/>
      <c r="R20" s="49" t="s">
        <v>166</v>
      </c>
    </row>
    <row r="21" spans="1:17" s="38" customFormat="1" ht="3.75" customHeight="1">
      <c r="A21" s="41"/>
      <c r="B21" s="244"/>
      <c r="C21" s="244"/>
      <c r="D21" s="244"/>
      <c r="E21" s="244"/>
      <c r="H21" s="244"/>
      <c r="I21" s="244"/>
      <c r="L21" s="244"/>
      <c r="M21" s="244"/>
      <c r="P21" s="244"/>
      <c r="Q21" s="244"/>
    </row>
    <row r="22" spans="1:18" s="38" customFormat="1" ht="12.75" customHeight="1">
      <c r="A22" s="159">
        <v>18</v>
      </c>
      <c r="B22" s="333">
        <v>7950</v>
      </c>
      <c r="C22" s="253"/>
      <c r="D22" s="254">
        <v>15494</v>
      </c>
      <c r="E22" s="254"/>
      <c r="F22" s="151">
        <v>494</v>
      </c>
      <c r="G22" s="151">
        <v>5051</v>
      </c>
      <c r="H22" s="254">
        <v>10038</v>
      </c>
      <c r="I22" s="254"/>
      <c r="J22" s="151">
        <v>-73</v>
      </c>
      <c r="K22" s="151">
        <v>4986</v>
      </c>
      <c r="L22" s="254">
        <v>9594</v>
      </c>
      <c r="M22" s="254"/>
      <c r="N22" s="151">
        <v>340</v>
      </c>
      <c r="O22" s="151">
        <v>5120</v>
      </c>
      <c r="P22" s="254">
        <v>9449</v>
      </c>
      <c r="Q22" s="254"/>
      <c r="R22" s="151">
        <v>-70</v>
      </c>
    </row>
    <row r="23" spans="1:18" s="38" customFormat="1" ht="12.75" customHeight="1">
      <c r="A23" s="159">
        <v>19</v>
      </c>
      <c r="B23" s="333">
        <v>8282</v>
      </c>
      <c r="C23" s="253"/>
      <c r="D23" s="254">
        <v>16036</v>
      </c>
      <c r="E23" s="254"/>
      <c r="F23" s="151">
        <v>542</v>
      </c>
      <c r="G23" s="151">
        <v>5087</v>
      </c>
      <c r="H23" s="254">
        <v>10040</v>
      </c>
      <c r="I23" s="254"/>
      <c r="J23" s="151">
        <v>2</v>
      </c>
      <c r="K23" s="151">
        <v>5053</v>
      </c>
      <c r="L23" s="247">
        <v>9647</v>
      </c>
      <c r="M23" s="247"/>
      <c r="N23" s="151">
        <v>53</v>
      </c>
      <c r="O23" s="151">
        <v>5242</v>
      </c>
      <c r="P23" s="254">
        <v>9524</v>
      </c>
      <c r="Q23" s="254"/>
      <c r="R23" s="151">
        <v>75</v>
      </c>
    </row>
    <row r="24" spans="1:18" s="38" customFormat="1" ht="12.75" customHeight="1">
      <c r="A24" s="159">
        <v>20</v>
      </c>
      <c r="B24" s="331">
        <v>8410</v>
      </c>
      <c r="C24" s="332"/>
      <c r="D24" s="306">
        <v>16165</v>
      </c>
      <c r="E24" s="306"/>
      <c r="F24" s="151">
        <v>129</v>
      </c>
      <c r="G24" s="135">
        <v>5090</v>
      </c>
      <c r="H24" s="306">
        <v>9978</v>
      </c>
      <c r="I24" s="306"/>
      <c r="J24" s="151">
        <v>-62</v>
      </c>
      <c r="K24" s="135">
        <v>5256</v>
      </c>
      <c r="L24" s="247">
        <v>9929</v>
      </c>
      <c r="M24" s="247"/>
      <c r="N24" s="151">
        <v>282</v>
      </c>
      <c r="O24" s="135">
        <v>5303</v>
      </c>
      <c r="P24" s="306">
        <v>9561</v>
      </c>
      <c r="Q24" s="306"/>
      <c r="R24" s="151">
        <v>37</v>
      </c>
    </row>
    <row r="25" spans="1:18" s="38" customFormat="1" ht="12.75" customHeight="1">
      <c r="A25" s="159">
        <v>21</v>
      </c>
      <c r="B25" s="332">
        <v>8425</v>
      </c>
      <c r="C25" s="306"/>
      <c r="D25" s="306">
        <v>16163</v>
      </c>
      <c r="E25" s="306"/>
      <c r="F25" s="151">
        <v>-2</v>
      </c>
      <c r="G25" s="135">
        <v>5043</v>
      </c>
      <c r="H25" s="306">
        <v>9855</v>
      </c>
      <c r="I25" s="306"/>
      <c r="J25" s="151">
        <v>-123</v>
      </c>
      <c r="K25" s="135">
        <v>5469</v>
      </c>
      <c r="L25" s="306">
        <v>10247</v>
      </c>
      <c r="M25" s="306"/>
      <c r="N25" s="151">
        <v>318</v>
      </c>
      <c r="O25" s="135">
        <v>5391</v>
      </c>
      <c r="P25" s="306">
        <v>9646</v>
      </c>
      <c r="Q25" s="306"/>
      <c r="R25" s="151">
        <v>85</v>
      </c>
    </row>
    <row r="26" spans="1:18" s="38" customFormat="1" ht="12.75" customHeight="1">
      <c r="A26" s="173">
        <v>22</v>
      </c>
      <c r="B26" s="242">
        <v>8404</v>
      </c>
      <c r="C26" s="243"/>
      <c r="D26" s="243">
        <v>15984</v>
      </c>
      <c r="E26" s="243"/>
      <c r="F26" s="152">
        <f>D26-D25</f>
        <v>-179</v>
      </c>
      <c r="G26" s="124">
        <v>5046</v>
      </c>
      <c r="H26" s="243">
        <v>9787</v>
      </c>
      <c r="I26" s="243"/>
      <c r="J26" s="152">
        <f>H26-H25</f>
        <v>-68</v>
      </c>
      <c r="K26" s="124">
        <v>5587</v>
      </c>
      <c r="L26" s="243">
        <v>10416</v>
      </c>
      <c r="M26" s="243"/>
      <c r="N26" s="152">
        <f>L26-L25</f>
        <v>169</v>
      </c>
      <c r="O26" s="124">
        <v>5441</v>
      </c>
      <c r="P26" s="243">
        <v>9598</v>
      </c>
      <c r="Q26" s="243"/>
      <c r="R26" s="152">
        <f>P26-P25</f>
        <v>-48</v>
      </c>
    </row>
    <row r="27" spans="1:17" s="38" customFormat="1" ht="3.75" customHeight="1">
      <c r="A27" s="161"/>
      <c r="B27" s="244"/>
      <c r="C27" s="244"/>
      <c r="D27" s="244"/>
      <c r="E27" s="244"/>
      <c r="H27" s="321"/>
      <c r="I27" s="321"/>
      <c r="L27" s="244"/>
      <c r="M27" s="244"/>
      <c r="P27" s="244"/>
      <c r="Q27" s="244"/>
    </row>
    <row r="28" spans="1:18" s="38" customFormat="1" ht="12.75" customHeight="1">
      <c r="A28" s="319" t="s">
        <v>1</v>
      </c>
      <c r="B28" s="245" t="s">
        <v>48</v>
      </c>
      <c r="C28" s="245"/>
      <c r="D28" s="245"/>
      <c r="E28" s="245"/>
      <c r="F28" s="245"/>
      <c r="G28" s="245" t="s">
        <v>49</v>
      </c>
      <c r="H28" s="245"/>
      <c r="I28" s="245"/>
      <c r="J28" s="245"/>
      <c r="K28" s="245" t="s">
        <v>50</v>
      </c>
      <c r="L28" s="245"/>
      <c r="M28" s="245"/>
      <c r="N28" s="245"/>
      <c r="O28" s="245" t="s">
        <v>172</v>
      </c>
      <c r="P28" s="245"/>
      <c r="Q28" s="245"/>
      <c r="R28" s="307"/>
    </row>
    <row r="29" spans="1:18" s="38" customFormat="1" ht="3.75" customHeight="1">
      <c r="A29" s="320"/>
      <c r="B29" s="241" t="s">
        <v>6</v>
      </c>
      <c r="C29" s="241"/>
      <c r="D29" s="241" t="s">
        <v>167</v>
      </c>
      <c r="E29" s="249"/>
      <c r="F29" s="59"/>
      <c r="G29" s="241" t="s">
        <v>6</v>
      </c>
      <c r="H29" s="241" t="s">
        <v>167</v>
      </c>
      <c r="I29" s="249"/>
      <c r="J29" s="59"/>
      <c r="K29" s="241" t="s">
        <v>6</v>
      </c>
      <c r="L29" s="241" t="s">
        <v>167</v>
      </c>
      <c r="M29" s="249"/>
      <c r="N29" s="59"/>
      <c r="O29" s="241" t="s">
        <v>6</v>
      </c>
      <c r="P29" s="241" t="s">
        <v>167</v>
      </c>
      <c r="Q29" s="249"/>
      <c r="R29" s="157"/>
    </row>
    <row r="30" spans="1:18" s="38" customFormat="1" ht="10.5" customHeight="1">
      <c r="A30" s="320"/>
      <c r="B30" s="241"/>
      <c r="C30" s="241"/>
      <c r="D30" s="241"/>
      <c r="E30" s="241"/>
      <c r="F30" s="51" t="s">
        <v>43</v>
      </c>
      <c r="G30" s="241"/>
      <c r="H30" s="241"/>
      <c r="I30" s="241"/>
      <c r="J30" s="51" t="s">
        <v>43</v>
      </c>
      <c r="K30" s="241"/>
      <c r="L30" s="241"/>
      <c r="M30" s="241"/>
      <c r="N30" s="51" t="s">
        <v>43</v>
      </c>
      <c r="O30" s="241"/>
      <c r="P30" s="241"/>
      <c r="Q30" s="241"/>
      <c r="R30" s="46" t="s">
        <v>43</v>
      </c>
    </row>
    <row r="31" spans="1:18" s="38" customFormat="1" ht="10.5" customHeight="1">
      <c r="A31" s="320"/>
      <c r="B31" s="241"/>
      <c r="C31" s="241"/>
      <c r="D31" s="241"/>
      <c r="E31" s="241"/>
      <c r="F31" s="50" t="s">
        <v>166</v>
      </c>
      <c r="G31" s="241"/>
      <c r="H31" s="241"/>
      <c r="I31" s="241"/>
      <c r="J31" s="50" t="s">
        <v>166</v>
      </c>
      <c r="K31" s="241"/>
      <c r="L31" s="241"/>
      <c r="M31" s="241"/>
      <c r="N31" s="50" t="s">
        <v>166</v>
      </c>
      <c r="O31" s="241"/>
      <c r="P31" s="241"/>
      <c r="Q31" s="241"/>
      <c r="R31" s="49" t="s">
        <v>166</v>
      </c>
    </row>
    <row r="32" spans="1:17" s="38" customFormat="1" ht="3.75" customHeight="1">
      <c r="A32" s="161"/>
      <c r="B32" s="244"/>
      <c r="C32" s="244"/>
      <c r="D32" s="244"/>
      <c r="E32" s="244"/>
      <c r="H32" s="244"/>
      <c r="I32" s="244"/>
      <c r="L32" s="244"/>
      <c r="M32" s="244"/>
      <c r="P32" s="244"/>
      <c r="Q32" s="244"/>
    </row>
    <row r="33" spans="1:18" s="38" customFormat="1" ht="12.75" customHeight="1">
      <c r="A33" s="159">
        <v>18</v>
      </c>
      <c r="B33" s="253">
        <v>1260</v>
      </c>
      <c r="C33" s="253"/>
      <c r="D33" s="254">
        <v>2285</v>
      </c>
      <c r="E33" s="254"/>
      <c r="F33" s="151">
        <v>25</v>
      </c>
      <c r="G33" s="151">
        <v>5436</v>
      </c>
      <c r="H33" s="254">
        <v>12265</v>
      </c>
      <c r="I33" s="254"/>
      <c r="J33" s="151">
        <v>69</v>
      </c>
      <c r="K33" s="151">
        <v>5277</v>
      </c>
      <c r="L33" s="254">
        <v>12458</v>
      </c>
      <c r="M33" s="254"/>
      <c r="N33" s="151">
        <v>44</v>
      </c>
      <c r="O33" s="151">
        <v>5696</v>
      </c>
      <c r="P33" s="254">
        <v>13105</v>
      </c>
      <c r="Q33" s="254"/>
      <c r="R33" s="151">
        <v>27</v>
      </c>
    </row>
    <row r="34" spans="1:18" s="38" customFormat="1" ht="12.75" customHeight="1">
      <c r="A34" s="159">
        <v>19</v>
      </c>
      <c r="B34" s="253">
        <v>1473</v>
      </c>
      <c r="C34" s="253"/>
      <c r="D34" s="254">
        <v>2861</v>
      </c>
      <c r="E34" s="254"/>
      <c r="F34" s="151">
        <v>576</v>
      </c>
      <c r="G34" s="151">
        <v>5487</v>
      </c>
      <c r="H34" s="254">
        <v>12306</v>
      </c>
      <c r="I34" s="254"/>
      <c r="J34" s="151">
        <v>41</v>
      </c>
      <c r="K34" s="151">
        <v>5285</v>
      </c>
      <c r="L34" s="254">
        <v>12336</v>
      </c>
      <c r="M34" s="254"/>
      <c r="N34" s="151">
        <v>-122</v>
      </c>
      <c r="O34" s="151">
        <v>5740</v>
      </c>
      <c r="P34" s="254">
        <v>13055</v>
      </c>
      <c r="Q34" s="254"/>
      <c r="R34" s="151">
        <v>-50</v>
      </c>
    </row>
    <row r="35" spans="1:18" s="38" customFormat="1" ht="12.75" customHeight="1">
      <c r="A35" s="159">
        <v>20</v>
      </c>
      <c r="B35" s="256">
        <v>1499</v>
      </c>
      <c r="C35" s="240"/>
      <c r="D35" s="247">
        <v>2947</v>
      </c>
      <c r="E35" s="247"/>
      <c r="F35" s="151">
        <v>86</v>
      </c>
      <c r="G35" s="151">
        <v>5696</v>
      </c>
      <c r="H35" s="247">
        <v>12655</v>
      </c>
      <c r="I35" s="247"/>
      <c r="J35" s="151">
        <v>349</v>
      </c>
      <c r="K35" s="151">
        <v>5319</v>
      </c>
      <c r="L35" s="247">
        <v>12230</v>
      </c>
      <c r="M35" s="247"/>
      <c r="N35" s="151">
        <v>-106</v>
      </c>
      <c r="O35" s="151">
        <v>5840</v>
      </c>
      <c r="P35" s="247">
        <v>13207</v>
      </c>
      <c r="Q35" s="247"/>
      <c r="R35" s="151">
        <v>152</v>
      </c>
    </row>
    <row r="36" spans="1:18" s="38" customFormat="1" ht="12.75" customHeight="1">
      <c r="A36" s="159">
        <v>21</v>
      </c>
      <c r="B36" s="256">
        <v>1538</v>
      </c>
      <c r="C36" s="240"/>
      <c r="D36" s="247">
        <v>2992</v>
      </c>
      <c r="E36" s="247"/>
      <c r="F36" s="151">
        <v>45</v>
      </c>
      <c r="G36" s="151">
        <v>5792</v>
      </c>
      <c r="H36" s="247">
        <v>12812</v>
      </c>
      <c r="I36" s="247"/>
      <c r="J36" s="151">
        <v>157</v>
      </c>
      <c r="K36" s="151">
        <v>5403</v>
      </c>
      <c r="L36" s="247">
        <v>12288</v>
      </c>
      <c r="M36" s="247"/>
      <c r="N36" s="151">
        <v>58</v>
      </c>
      <c r="O36" s="151">
        <v>5905</v>
      </c>
      <c r="P36" s="247">
        <v>13181</v>
      </c>
      <c r="Q36" s="247"/>
      <c r="R36" s="151">
        <v>-26</v>
      </c>
    </row>
    <row r="37" spans="1:18" s="38" customFormat="1" ht="12.75" customHeight="1">
      <c r="A37" s="173">
        <v>22</v>
      </c>
      <c r="B37" s="242">
        <v>1497</v>
      </c>
      <c r="C37" s="243"/>
      <c r="D37" s="243">
        <v>2968</v>
      </c>
      <c r="E37" s="243"/>
      <c r="F37" s="152">
        <f>D37-D36</f>
        <v>-24</v>
      </c>
      <c r="G37" s="124">
        <v>5800</v>
      </c>
      <c r="H37" s="243">
        <v>12866</v>
      </c>
      <c r="I37" s="243"/>
      <c r="J37" s="152">
        <f>H37-H36</f>
        <v>54</v>
      </c>
      <c r="K37" s="124">
        <v>5467</v>
      </c>
      <c r="L37" s="243">
        <v>12412</v>
      </c>
      <c r="M37" s="243"/>
      <c r="N37" s="152">
        <f>L37-L36</f>
        <v>124</v>
      </c>
      <c r="O37" s="124">
        <v>5883</v>
      </c>
      <c r="P37" s="243">
        <v>13123</v>
      </c>
      <c r="Q37" s="243"/>
      <c r="R37" s="152">
        <f>P37-P36</f>
        <v>-58</v>
      </c>
    </row>
    <row r="38" spans="1:17" s="38" customFormat="1" ht="3.75" customHeight="1">
      <c r="A38" s="161"/>
      <c r="B38" s="244"/>
      <c r="C38" s="244"/>
      <c r="D38" s="244"/>
      <c r="E38" s="244"/>
      <c r="H38" s="244"/>
      <c r="I38" s="244"/>
      <c r="L38" s="244"/>
      <c r="M38" s="244"/>
      <c r="P38" s="244"/>
      <c r="Q38" s="244"/>
    </row>
    <row r="39" spans="1:18" s="38" customFormat="1" ht="12.75" customHeight="1">
      <c r="A39" s="319" t="s">
        <v>1</v>
      </c>
      <c r="B39" s="245" t="s">
        <v>51</v>
      </c>
      <c r="C39" s="245"/>
      <c r="D39" s="245"/>
      <c r="E39" s="245"/>
      <c r="F39" s="245"/>
      <c r="G39" s="245" t="s">
        <v>174</v>
      </c>
      <c r="H39" s="245"/>
      <c r="I39" s="245"/>
      <c r="J39" s="245"/>
      <c r="K39" s="245" t="s">
        <v>52</v>
      </c>
      <c r="L39" s="245"/>
      <c r="M39" s="245"/>
      <c r="N39" s="245"/>
      <c r="O39" s="245" t="s">
        <v>53</v>
      </c>
      <c r="P39" s="245"/>
      <c r="Q39" s="245"/>
      <c r="R39" s="307"/>
    </row>
    <row r="40" spans="1:18" s="38" customFormat="1" ht="3.75" customHeight="1">
      <c r="A40" s="320"/>
      <c r="B40" s="241" t="s">
        <v>6</v>
      </c>
      <c r="C40" s="241"/>
      <c r="D40" s="241" t="s">
        <v>167</v>
      </c>
      <c r="E40" s="249"/>
      <c r="F40" s="59"/>
      <c r="G40" s="241" t="s">
        <v>6</v>
      </c>
      <c r="H40" s="241" t="s">
        <v>167</v>
      </c>
      <c r="I40" s="249"/>
      <c r="J40" s="59"/>
      <c r="K40" s="241" t="s">
        <v>6</v>
      </c>
      <c r="L40" s="241" t="s">
        <v>167</v>
      </c>
      <c r="M40" s="249"/>
      <c r="N40" s="59"/>
      <c r="O40" s="241" t="s">
        <v>6</v>
      </c>
      <c r="P40" s="241" t="s">
        <v>167</v>
      </c>
      <c r="Q40" s="249"/>
      <c r="R40" s="157"/>
    </row>
    <row r="41" spans="1:18" s="38" customFormat="1" ht="10.5" customHeight="1">
      <c r="A41" s="320"/>
      <c r="B41" s="241"/>
      <c r="C41" s="241"/>
      <c r="D41" s="241"/>
      <c r="E41" s="241"/>
      <c r="F41" s="51" t="s">
        <v>43</v>
      </c>
      <c r="G41" s="241"/>
      <c r="H41" s="241"/>
      <c r="I41" s="241"/>
      <c r="J41" s="51" t="s">
        <v>43</v>
      </c>
      <c r="K41" s="241"/>
      <c r="L41" s="241"/>
      <c r="M41" s="241"/>
      <c r="N41" s="51" t="s">
        <v>43</v>
      </c>
      <c r="O41" s="241"/>
      <c r="P41" s="241"/>
      <c r="Q41" s="241"/>
      <c r="R41" s="46" t="s">
        <v>43</v>
      </c>
    </row>
    <row r="42" spans="1:18" s="38" customFormat="1" ht="10.5" customHeight="1">
      <c r="A42" s="320"/>
      <c r="B42" s="241"/>
      <c r="C42" s="241"/>
      <c r="D42" s="241"/>
      <c r="E42" s="241"/>
      <c r="F42" s="50" t="s">
        <v>166</v>
      </c>
      <c r="G42" s="241"/>
      <c r="H42" s="241"/>
      <c r="I42" s="241"/>
      <c r="J42" s="50" t="s">
        <v>166</v>
      </c>
      <c r="K42" s="241"/>
      <c r="L42" s="241"/>
      <c r="M42" s="241"/>
      <c r="N42" s="50" t="s">
        <v>166</v>
      </c>
      <c r="O42" s="241"/>
      <c r="P42" s="241"/>
      <c r="Q42" s="241"/>
      <c r="R42" s="49" t="s">
        <v>166</v>
      </c>
    </row>
    <row r="43" spans="1:17" s="38" customFormat="1" ht="3.75" customHeight="1">
      <c r="A43" s="41"/>
      <c r="B43" s="244"/>
      <c r="C43" s="244"/>
      <c r="D43" s="244"/>
      <c r="E43" s="244"/>
      <c r="H43" s="244"/>
      <c r="I43" s="244"/>
      <c r="L43" s="244"/>
      <c r="M43" s="244"/>
      <c r="P43" s="244"/>
      <c r="Q43" s="244"/>
    </row>
    <row r="44" spans="1:18" s="38" customFormat="1" ht="12.75" customHeight="1">
      <c r="A44" s="159">
        <v>18</v>
      </c>
      <c r="B44" s="253">
        <v>3894</v>
      </c>
      <c r="C44" s="253"/>
      <c r="D44" s="254">
        <v>8550</v>
      </c>
      <c r="E44" s="254"/>
      <c r="F44" s="151">
        <v>-58</v>
      </c>
      <c r="G44" s="151">
        <v>332</v>
      </c>
      <c r="H44" s="254">
        <v>986</v>
      </c>
      <c r="I44" s="254"/>
      <c r="J44" s="151">
        <v>6</v>
      </c>
      <c r="K44" s="151">
        <v>5974</v>
      </c>
      <c r="L44" s="254">
        <v>15018</v>
      </c>
      <c r="M44" s="254"/>
      <c r="N44" s="151">
        <v>80</v>
      </c>
      <c r="O44" s="151">
        <v>4303</v>
      </c>
      <c r="P44" s="254">
        <v>10434</v>
      </c>
      <c r="Q44" s="254"/>
      <c r="R44" s="151">
        <v>-59</v>
      </c>
    </row>
    <row r="45" spans="1:18" s="38" customFormat="1" ht="12.75" customHeight="1">
      <c r="A45" s="159">
        <v>19</v>
      </c>
      <c r="B45" s="253">
        <v>3909</v>
      </c>
      <c r="C45" s="253"/>
      <c r="D45" s="254">
        <v>8494</v>
      </c>
      <c r="E45" s="254"/>
      <c r="F45" s="151">
        <v>-56</v>
      </c>
      <c r="G45" s="154">
        <v>363</v>
      </c>
      <c r="H45" s="253">
        <v>1045</v>
      </c>
      <c r="I45" s="253"/>
      <c r="J45" s="151">
        <v>59</v>
      </c>
      <c r="K45" s="151">
        <v>6094</v>
      </c>
      <c r="L45" s="254">
        <v>15297</v>
      </c>
      <c r="M45" s="254"/>
      <c r="N45" s="151">
        <v>279</v>
      </c>
      <c r="O45" s="151">
        <v>4333</v>
      </c>
      <c r="P45" s="254">
        <v>10433</v>
      </c>
      <c r="Q45" s="254"/>
      <c r="R45" s="151">
        <v>-1</v>
      </c>
    </row>
    <row r="46" spans="1:18" s="38" customFormat="1" ht="12.75" customHeight="1">
      <c r="A46" s="159">
        <v>20</v>
      </c>
      <c r="B46" s="256">
        <v>3929</v>
      </c>
      <c r="C46" s="240"/>
      <c r="D46" s="247">
        <v>8466</v>
      </c>
      <c r="E46" s="247"/>
      <c r="F46" s="151">
        <v>-28</v>
      </c>
      <c r="G46" s="154">
        <v>393</v>
      </c>
      <c r="H46" s="256">
        <v>1108</v>
      </c>
      <c r="I46" s="256"/>
      <c r="J46" s="151">
        <v>63</v>
      </c>
      <c r="K46" s="151">
        <v>6252</v>
      </c>
      <c r="L46" s="247">
        <v>15501</v>
      </c>
      <c r="M46" s="247"/>
      <c r="N46" s="151">
        <v>204</v>
      </c>
      <c r="O46" s="151">
        <v>4412</v>
      </c>
      <c r="P46" s="247">
        <v>10480</v>
      </c>
      <c r="Q46" s="247"/>
      <c r="R46" s="151">
        <v>47</v>
      </c>
    </row>
    <row r="47" spans="1:18" s="38" customFormat="1" ht="12.75" customHeight="1">
      <c r="A47" s="159">
        <v>21</v>
      </c>
      <c r="B47" s="256">
        <v>4080</v>
      </c>
      <c r="C47" s="240"/>
      <c r="D47" s="247">
        <v>8842</v>
      </c>
      <c r="E47" s="247"/>
      <c r="F47" s="151">
        <v>376</v>
      </c>
      <c r="G47" s="154">
        <v>393</v>
      </c>
      <c r="H47" s="256">
        <v>1129</v>
      </c>
      <c r="I47" s="256"/>
      <c r="J47" s="151">
        <v>21</v>
      </c>
      <c r="K47" s="151">
        <v>6379</v>
      </c>
      <c r="L47" s="247">
        <v>15638</v>
      </c>
      <c r="M47" s="247"/>
      <c r="N47" s="151">
        <v>137</v>
      </c>
      <c r="O47" s="151">
        <v>4486</v>
      </c>
      <c r="P47" s="247">
        <v>10585</v>
      </c>
      <c r="Q47" s="247"/>
      <c r="R47" s="151">
        <v>105</v>
      </c>
    </row>
    <row r="48" spans="1:18" s="38" customFormat="1" ht="12.75" customHeight="1">
      <c r="A48" s="173">
        <v>22</v>
      </c>
      <c r="B48" s="242">
        <v>4125</v>
      </c>
      <c r="C48" s="243"/>
      <c r="D48" s="243">
        <v>8906</v>
      </c>
      <c r="E48" s="243"/>
      <c r="F48" s="152">
        <f>D48-D47</f>
        <v>64</v>
      </c>
      <c r="G48" s="124">
        <v>531</v>
      </c>
      <c r="H48" s="243">
        <v>1382</v>
      </c>
      <c r="I48" s="243"/>
      <c r="J48" s="152">
        <f>H48-H47</f>
        <v>253</v>
      </c>
      <c r="K48" s="124">
        <v>6505</v>
      </c>
      <c r="L48" s="243">
        <v>15837</v>
      </c>
      <c r="M48" s="243"/>
      <c r="N48" s="152">
        <f>L48-L47</f>
        <v>199</v>
      </c>
      <c r="O48" s="124">
        <v>4521</v>
      </c>
      <c r="P48" s="243">
        <v>10517</v>
      </c>
      <c r="Q48" s="243"/>
      <c r="R48" s="152">
        <f>P48-P47</f>
        <v>-68</v>
      </c>
    </row>
    <row r="49" spans="1:18" s="38" customFormat="1" ht="3.75" customHeight="1">
      <c r="A49" s="161"/>
      <c r="B49" s="244"/>
      <c r="C49" s="244"/>
      <c r="D49" s="244"/>
      <c r="E49" s="244"/>
      <c r="G49" s="60"/>
      <c r="H49" s="248"/>
      <c r="I49" s="248"/>
      <c r="J49" s="162"/>
      <c r="L49" s="244"/>
      <c r="M49" s="244"/>
      <c r="N49" s="163"/>
      <c r="O49" s="163"/>
      <c r="P49" s="248"/>
      <c r="Q49" s="248"/>
      <c r="R49" s="151"/>
    </row>
    <row r="50" spans="1:18" s="38" customFormat="1" ht="12.75" customHeight="1">
      <c r="A50" s="319" t="s">
        <v>1</v>
      </c>
      <c r="B50" s="245" t="s">
        <v>173</v>
      </c>
      <c r="C50" s="245"/>
      <c r="D50" s="245"/>
      <c r="E50" s="245"/>
      <c r="F50" s="245"/>
      <c r="G50" s="245" t="s">
        <v>54</v>
      </c>
      <c r="H50" s="245"/>
      <c r="I50" s="245"/>
      <c r="J50" s="307"/>
      <c r="K50" s="164"/>
      <c r="L50" s="165"/>
      <c r="M50" s="165"/>
      <c r="N50" s="165"/>
      <c r="O50" s="165"/>
      <c r="P50" s="165"/>
      <c r="Q50" s="165"/>
      <c r="R50" s="166"/>
    </row>
    <row r="51" spans="1:18" s="38" customFormat="1" ht="3.75" customHeight="1">
      <c r="A51" s="320"/>
      <c r="B51" s="241" t="s">
        <v>6</v>
      </c>
      <c r="C51" s="241"/>
      <c r="D51" s="241" t="s">
        <v>167</v>
      </c>
      <c r="E51" s="249"/>
      <c r="F51" s="167"/>
      <c r="G51" s="241" t="s">
        <v>6</v>
      </c>
      <c r="H51" s="241" t="s">
        <v>167</v>
      </c>
      <c r="I51" s="249"/>
      <c r="J51" s="157"/>
      <c r="K51" s="163"/>
      <c r="L51" s="163"/>
      <c r="M51" s="163"/>
      <c r="N51" s="163"/>
      <c r="O51" s="163"/>
      <c r="P51" s="163"/>
      <c r="Q51" s="163"/>
      <c r="R51" s="163"/>
    </row>
    <row r="52" spans="1:18" s="38" customFormat="1" ht="10.5" customHeight="1">
      <c r="A52" s="320"/>
      <c r="B52" s="241"/>
      <c r="C52" s="241"/>
      <c r="D52" s="241"/>
      <c r="E52" s="241"/>
      <c r="F52" s="51" t="s">
        <v>43</v>
      </c>
      <c r="G52" s="241"/>
      <c r="H52" s="241"/>
      <c r="I52" s="241"/>
      <c r="J52" s="46" t="s">
        <v>43</v>
      </c>
      <c r="K52" s="163"/>
      <c r="L52" s="163"/>
      <c r="M52" s="163"/>
      <c r="N52" s="163"/>
      <c r="O52" s="163"/>
      <c r="P52" s="163"/>
      <c r="Q52" s="163"/>
      <c r="R52" s="163"/>
    </row>
    <row r="53" spans="1:18" s="38" customFormat="1" ht="10.5" customHeight="1">
      <c r="A53" s="320"/>
      <c r="B53" s="241"/>
      <c r="C53" s="241"/>
      <c r="D53" s="241"/>
      <c r="E53" s="241"/>
      <c r="F53" s="50" t="s">
        <v>166</v>
      </c>
      <c r="G53" s="241"/>
      <c r="H53" s="241"/>
      <c r="I53" s="241"/>
      <c r="J53" s="49" t="s">
        <v>166</v>
      </c>
      <c r="K53" s="163"/>
      <c r="L53" s="163"/>
      <c r="M53" s="163"/>
      <c r="N53" s="163"/>
      <c r="O53" s="163"/>
      <c r="P53" s="163"/>
      <c r="Q53" s="163"/>
      <c r="R53" s="163"/>
    </row>
    <row r="54" spans="1:9" s="38" customFormat="1" ht="4.5" customHeight="1">
      <c r="A54" s="41"/>
      <c r="D54" s="244"/>
      <c r="E54" s="244"/>
      <c r="F54" s="168"/>
      <c r="G54" s="39"/>
      <c r="H54" s="244"/>
      <c r="I54" s="244"/>
    </row>
    <row r="55" spans="1:10" s="38" customFormat="1" ht="12.75" customHeight="1">
      <c r="A55" s="159">
        <v>18</v>
      </c>
      <c r="B55" s="253">
        <v>5506</v>
      </c>
      <c r="C55" s="254"/>
      <c r="D55" s="254">
        <v>13505</v>
      </c>
      <c r="E55" s="254"/>
      <c r="F55" s="154">
        <v>-136</v>
      </c>
      <c r="G55" s="155">
        <v>2793</v>
      </c>
      <c r="H55" s="254">
        <v>7396</v>
      </c>
      <c r="I55" s="254"/>
      <c r="J55" s="151">
        <v>118</v>
      </c>
    </row>
    <row r="56" spans="1:10" s="38" customFormat="1" ht="12.75" customHeight="1">
      <c r="A56" s="159">
        <v>19</v>
      </c>
      <c r="B56" s="253">
        <v>5588</v>
      </c>
      <c r="C56" s="254"/>
      <c r="D56" s="254">
        <v>13476</v>
      </c>
      <c r="E56" s="254"/>
      <c r="F56" s="154">
        <v>-29</v>
      </c>
      <c r="G56" s="155">
        <v>2969</v>
      </c>
      <c r="H56" s="253">
        <v>7743</v>
      </c>
      <c r="I56" s="253"/>
      <c r="J56" s="151">
        <v>347</v>
      </c>
    </row>
    <row r="57" spans="1:10" s="38" customFormat="1" ht="12.75" customHeight="1">
      <c r="A57" s="159">
        <v>20</v>
      </c>
      <c r="B57" s="253">
        <v>5622</v>
      </c>
      <c r="C57" s="254"/>
      <c r="D57" s="247">
        <v>13381</v>
      </c>
      <c r="E57" s="247"/>
      <c r="F57" s="154">
        <v>-95</v>
      </c>
      <c r="G57" s="155">
        <v>3039</v>
      </c>
      <c r="H57" s="256">
        <v>7872</v>
      </c>
      <c r="I57" s="256"/>
      <c r="J57" s="151">
        <v>129</v>
      </c>
    </row>
    <row r="58" spans="1:10" s="38" customFormat="1" ht="12.75" customHeight="1">
      <c r="A58" s="159">
        <v>21</v>
      </c>
      <c r="B58" s="253">
        <v>5726</v>
      </c>
      <c r="C58" s="254"/>
      <c r="D58" s="247">
        <v>13419</v>
      </c>
      <c r="E58" s="247"/>
      <c r="F58" s="154">
        <v>38</v>
      </c>
      <c r="G58" s="155">
        <v>3077</v>
      </c>
      <c r="H58" s="256">
        <v>7925</v>
      </c>
      <c r="I58" s="256"/>
      <c r="J58" s="151">
        <v>53</v>
      </c>
    </row>
    <row r="59" spans="1:18" s="38" customFormat="1" ht="12.75" customHeight="1">
      <c r="A59" s="173">
        <v>22</v>
      </c>
      <c r="B59" s="242">
        <v>5804</v>
      </c>
      <c r="C59" s="243"/>
      <c r="D59" s="243">
        <v>13513</v>
      </c>
      <c r="E59" s="243"/>
      <c r="F59" s="152">
        <f>D59-D58</f>
        <v>94</v>
      </c>
      <c r="G59" s="124">
        <v>3088</v>
      </c>
      <c r="H59" s="243">
        <v>7941</v>
      </c>
      <c r="I59" s="243"/>
      <c r="J59" s="152">
        <f>H59-H58</f>
        <v>16</v>
      </c>
      <c r="K59" s="124"/>
      <c r="L59" s="243"/>
      <c r="M59" s="243"/>
      <c r="N59" s="152"/>
      <c r="O59" s="124"/>
      <c r="P59" s="243"/>
      <c r="Q59" s="243"/>
      <c r="R59" s="152"/>
    </row>
    <row r="60" spans="1:10" s="38" customFormat="1" ht="3.75" customHeight="1">
      <c r="A60" s="169"/>
      <c r="B60" s="170"/>
      <c r="C60" s="170"/>
      <c r="D60" s="334"/>
      <c r="E60" s="334"/>
      <c r="F60" s="170"/>
      <c r="G60" s="171"/>
      <c r="H60" s="335"/>
      <c r="I60" s="335"/>
      <c r="J60" s="138"/>
    </row>
    <row r="61" spans="1:18" ht="13.5" customHeight="1">
      <c r="A61" s="198" t="s">
        <v>260</v>
      </c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5"/>
    </row>
    <row r="62" spans="1:18" ht="1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8.75" customHeight="1">
      <c r="A64" s="26" t="s">
        <v>332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2" customHeight="1">
      <c r="A65" s="175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7" t="s">
        <v>0</v>
      </c>
    </row>
    <row r="66" spans="1:18" s="38" customFormat="1" ht="12.75" customHeight="1">
      <c r="A66" s="319" t="s">
        <v>1</v>
      </c>
      <c r="B66" s="245" t="s">
        <v>124</v>
      </c>
      <c r="C66" s="245"/>
      <c r="D66" s="245"/>
      <c r="E66" s="245"/>
      <c r="F66" s="245"/>
      <c r="G66" s="245" t="s">
        <v>188</v>
      </c>
      <c r="H66" s="245"/>
      <c r="I66" s="245"/>
      <c r="J66" s="245"/>
      <c r="K66" s="245" t="s">
        <v>189</v>
      </c>
      <c r="L66" s="245"/>
      <c r="M66" s="245"/>
      <c r="N66" s="245"/>
      <c r="O66" s="245" t="s">
        <v>190</v>
      </c>
      <c r="P66" s="245"/>
      <c r="Q66" s="245"/>
      <c r="R66" s="307"/>
    </row>
    <row r="67" spans="1:18" s="38" customFormat="1" ht="13.5" customHeight="1">
      <c r="A67" s="320"/>
      <c r="B67" s="241" t="s">
        <v>3</v>
      </c>
      <c r="C67" s="241"/>
      <c r="D67" s="241"/>
      <c r="E67" s="241" t="s">
        <v>175</v>
      </c>
      <c r="F67" s="241"/>
      <c r="G67" s="241" t="s">
        <v>3</v>
      </c>
      <c r="H67" s="241"/>
      <c r="I67" s="241" t="s">
        <v>175</v>
      </c>
      <c r="J67" s="241"/>
      <c r="K67" s="241" t="s">
        <v>3</v>
      </c>
      <c r="L67" s="241"/>
      <c r="M67" s="241" t="s">
        <v>175</v>
      </c>
      <c r="N67" s="241"/>
      <c r="O67" s="241" t="s">
        <v>3</v>
      </c>
      <c r="P67" s="241"/>
      <c r="Q67" s="241" t="s">
        <v>175</v>
      </c>
      <c r="R67" s="249"/>
    </row>
    <row r="68" spans="1:18" s="38" customFormat="1" ht="3.75" customHeight="1">
      <c r="A68" s="41"/>
      <c r="B68" s="244"/>
      <c r="C68" s="244"/>
      <c r="D68" s="244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</row>
    <row r="69" spans="1:18" s="38" customFormat="1" ht="12.75" customHeight="1">
      <c r="A69" s="159" t="s">
        <v>262</v>
      </c>
      <c r="B69" s="315">
        <v>152098</v>
      </c>
      <c r="C69" s="310"/>
      <c r="D69" s="310"/>
      <c r="E69" s="308">
        <f>I69+M69+Q69</f>
        <v>100</v>
      </c>
      <c r="F69" s="308"/>
      <c r="G69" s="310">
        <v>27229</v>
      </c>
      <c r="H69" s="310"/>
      <c r="I69" s="308">
        <f>G69/B69*100</f>
        <v>17.90227353416876</v>
      </c>
      <c r="J69" s="308"/>
      <c r="K69" s="310">
        <v>111449</v>
      </c>
      <c r="L69" s="310"/>
      <c r="M69" s="308">
        <f>K69/B69*100</f>
        <v>73.27446777735408</v>
      </c>
      <c r="N69" s="308"/>
      <c r="O69" s="310">
        <v>13420</v>
      </c>
      <c r="P69" s="310"/>
      <c r="Q69" s="308">
        <f>O69/B69*100</f>
        <v>8.823258688477166</v>
      </c>
      <c r="R69" s="308"/>
    </row>
    <row r="70" spans="1:18" s="38" customFormat="1" ht="12.75" customHeight="1">
      <c r="A70" s="159" t="s">
        <v>263</v>
      </c>
      <c r="B70" s="315">
        <v>158858</v>
      </c>
      <c r="C70" s="310"/>
      <c r="D70" s="310"/>
      <c r="E70" s="308">
        <f>I70+M70+Q70</f>
        <v>100</v>
      </c>
      <c r="F70" s="308"/>
      <c r="G70" s="310">
        <v>22069</v>
      </c>
      <c r="H70" s="310"/>
      <c r="I70" s="308">
        <f>G70/B70*100</f>
        <v>13.892281156756347</v>
      </c>
      <c r="J70" s="308"/>
      <c r="K70" s="310">
        <v>116441</v>
      </c>
      <c r="L70" s="310"/>
      <c r="M70" s="308">
        <f>K70/B70*100</f>
        <v>73.29879515038587</v>
      </c>
      <c r="N70" s="308"/>
      <c r="O70" s="310">
        <v>20348</v>
      </c>
      <c r="P70" s="310"/>
      <c r="Q70" s="308">
        <f>O70/B70*100</f>
        <v>12.808923692857771</v>
      </c>
      <c r="R70" s="308"/>
    </row>
    <row r="71" spans="1:18" s="38" customFormat="1" ht="3" customHeight="1">
      <c r="A71" s="159"/>
      <c r="B71" s="60"/>
      <c r="C71" s="153"/>
      <c r="D71" s="153"/>
      <c r="E71" s="139"/>
      <c r="F71" s="139"/>
      <c r="G71" s="153"/>
      <c r="H71" s="153"/>
      <c r="I71" s="139"/>
      <c r="J71" s="139"/>
      <c r="K71" s="153"/>
      <c r="L71" s="153"/>
      <c r="M71" s="139"/>
      <c r="N71" s="139"/>
      <c r="O71" s="153"/>
      <c r="P71" s="153"/>
      <c r="Q71" s="139"/>
      <c r="R71" s="139"/>
    </row>
    <row r="72" spans="1:18" s="38" customFormat="1" ht="12.75" customHeight="1">
      <c r="A72" s="159">
        <v>18</v>
      </c>
      <c r="B72" s="315">
        <f>SUM(G72,K72,O72)</f>
        <v>169768</v>
      </c>
      <c r="C72" s="310"/>
      <c r="D72" s="310"/>
      <c r="E72" s="308">
        <f>I72+M72+Q72</f>
        <v>100</v>
      </c>
      <c r="F72" s="308"/>
      <c r="G72" s="309">
        <v>22430</v>
      </c>
      <c r="H72" s="309"/>
      <c r="I72" s="308">
        <f>G72/B72*100</f>
        <v>13.212148343621886</v>
      </c>
      <c r="J72" s="308"/>
      <c r="K72" s="309">
        <v>117904</v>
      </c>
      <c r="L72" s="309"/>
      <c r="M72" s="308">
        <f>K72/B72*100</f>
        <v>69.45007304085576</v>
      </c>
      <c r="N72" s="308"/>
      <c r="O72" s="309">
        <v>29434</v>
      </c>
      <c r="P72" s="309"/>
      <c r="Q72" s="308">
        <f>O72/B72*100</f>
        <v>17.33777861552236</v>
      </c>
      <c r="R72" s="308"/>
    </row>
    <row r="73" spans="1:18" s="38" customFormat="1" ht="12.75" customHeight="1">
      <c r="A73" s="159">
        <v>19</v>
      </c>
      <c r="B73" s="315">
        <f>SUM(G73,K73,O73)</f>
        <v>171325</v>
      </c>
      <c r="C73" s="310"/>
      <c r="D73" s="310"/>
      <c r="E73" s="308">
        <f>I73+M73+Q73</f>
        <v>100</v>
      </c>
      <c r="F73" s="308"/>
      <c r="G73" s="309">
        <v>22601</v>
      </c>
      <c r="H73" s="309"/>
      <c r="I73" s="308">
        <f>G73/B73*100</f>
        <v>13.191886764920474</v>
      </c>
      <c r="J73" s="308"/>
      <c r="K73" s="309">
        <v>117883</v>
      </c>
      <c r="L73" s="309"/>
      <c r="M73" s="308">
        <f>K73/B73*100</f>
        <v>68.80665402013717</v>
      </c>
      <c r="N73" s="308"/>
      <c r="O73" s="309">
        <v>30841</v>
      </c>
      <c r="P73" s="309"/>
      <c r="Q73" s="308">
        <f>O73/B73*100</f>
        <v>18.00145921494236</v>
      </c>
      <c r="R73" s="308"/>
    </row>
    <row r="74" spans="1:18" s="38" customFormat="1" ht="12.75" customHeight="1">
      <c r="A74" s="159">
        <v>20</v>
      </c>
      <c r="B74" s="315">
        <f>SUM(G74,K74,O74)</f>
        <v>172547</v>
      </c>
      <c r="C74" s="310"/>
      <c r="D74" s="310"/>
      <c r="E74" s="308">
        <f>I74+M74+Q74</f>
        <v>100</v>
      </c>
      <c r="F74" s="308"/>
      <c r="G74" s="310">
        <v>22608</v>
      </c>
      <c r="H74" s="310"/>
      <c r="I74" s="308">
        <f>G74/B74*100</f>
        <v>13.10251699536938</v>
      </c>
      <c r="J74" s="308"/>
      <c r="K74" s="310">
        <v>117794</v>
      </c>
      <c r="L74" s="310"/>
      <c r="M74" s="308">
        <f>K74/B74*100</f>
        <v>68.26777631601824</v>
      </c>
      <c r="N74" s="308"/>
      <c r="O74" s="310">
        <v>32145</v>
      </c>
      <c r="P74" s="310"/>
      <c r="Q74" s="308">
        <f>O74/B74*100</f>
        <v>18.629706688612377</v>
      </c>
      <c r="R74" s="308"/>
    </row>
    <row r="75" spans="1:18" s="38" customFormat="1" ht="12.75" customHeight="1">
      <c r="A75" s="159">
        <v>21</v>
      </c>
      <c r="B75" s="318">
        <f>SUM(G75,K75,O75)</f>
        <v>173692</v>
      </c>
      <c r="C75" s="315"/>
      <c r="D75" s="315"/>
      <c r="E75" s="314">
        <f>I75+M75+Q75</f>
        <v>100</v>
      </c>
      <c r="F75" s="314"/>
      <c r="G75" s="315">
        <v>22759</v>
      </c>
      <c r="H75" s="315"/>
      <c r="I75" s="314">
        <f>G75/B75*100</f>
        <v>13.103079013426063</v>
      </c>
      <c r="J75" s="314"/>
      <c r="K75" s="315">
        <v>117413</v>
      </c>
      <c r="L75" s="315"/>
      <c r="M75" s="314">
        <f>K75/B75*100</f>
        <v>67.59839255693987</v>
      </c>
      <c r="N75" s="314"/>
      <c r="O75" s="315">
        <v>33520</v>
      </c>
      <c r="P75" s="315"/>
      <c r="Q75" s="314">
        <f>O75/B75*100</f>
        <v>19.298528429634064</v>
      </c>
      <c r="R75" s="314"/>
    </row>
    <row r="76" spans="1:18" s="378" customFormat="1" ht="12.75" customHeight="1">
      <c r="A76" s="173">
        <v>22</v>
      </c>
      <c r="B76" s="336">
        <f>SUM(G76,K76,O76)</f>
        <v>174458</v>
      </c>
      <c r="C76" s="316"/>
      <c r="D76" s="316"/>
      <c r="E76" s="312">
        <f>I76+M76+Q76</f>
        <v>100</v>
      </c>
      <c r="F76" s="312"/>
      <c r="G76" s="316">
        <v>22594</v>
      </c>
      <c r="H76" s="316"/>
      <c r="I76" s="312">
        <f>G76/B76*100</f>
        <v>12.950968141329145</v>
      </c>
      <c r="J76" s="312"/>
      <c r="K76" s="316">
        <v>117082</v>
      </c>
      <c r="L76" s="316"/>
      <c r="M76" s="312">
        <f>K76/B76*100</f>
        <v>67.11185500235014</v>
      </c>
      <c r="N76" s="312"/>
      <c r="O76" s="316">
        <v>34782</v>
      </c>
      <c r="P76" s="316"/>
      <c r="Q76" s="312">
        <f>O76/B76*100</f>
        <v>19.93717685632072</v>
      </c>
      <c r="R76" s="312"/>
    </row>
    <row r="77" spans="1:18" s="38" customFormat="1" ht="3.75" customHeight="1">
      <c r="A77" s="172"/>
      <c r="B77" s="317"/>
      <c r="C77" s="311"/>
      <c r="D77" s="311"/>
      <c r="E77" s="311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1"/>
    </row>
    <row r="78" spans="1:18" ht="12.75" customHeight="1">
      <c r="A78" s="193" t="s">
        <v>260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</row>
    <row r="79" ht="13.5">
      <c r="A79" s="38"/>
    </row>
  </sheetData>
  <mergeCells count="312">
    <mergeCell ref="P48:Q48"/>
    <mergeCell ref="O76:P76"/>
    <mergeCell ref="Q76:R76"/>
    <mergeCell ref="B76:D76"/>
    <mergeCell ref="E76:F76"/>
    <mergeCell ref="G76:H76"/>
    <mergeCell ref="I76:J76"/>
    <mergeCell ref="K70:L70"/>
    <mergeCell ref="D54:E54"/>
    <mergeCell ref="H49:I49"/>
    <mergeCell ref="L48:M48"/>
    <mergeCell ref="D45:E45"/>
    <mergeCell ref="H34:I34"/>
    <mergeCell ref="L45:M45"/>
    <mergeCell ref="L40:M42"/>
    <mergeCell ref="D44:E44"/>
    <mergeCell ref="L44:M44"/>
    <mergeCell ref="L43:M43"/>
    <mergeCell ref="K39:N39"/>
    <mergeCell ref="D46:E46"/>
    <mergeCell ref="P37:Q37"/>
    <mergeCell ref="H26:I26"/>
    <mergeCell ref="B37:C37"/>
    <mergeCell ref="D37:E37"/>
    <mergeCell ref="H37:I37"/>
    <mergeCell ref="L37:M37"/>
    <mergeCell ref="G29:G31"/>
    <mergeCell ref="L29:M31"/>
    <mergeCell ref="L33:M33"/>
    <mergeCell ref="H33:I33"/>
    <mergeCell ref="K17:N17"/>
    <mergeCell ref="K18:K20"/>
    <mergeCell ref="L18:M20"/>
    <mergeCell ref="L32:M32"/>
    <mergeCell ref="K28:N28"/>
    <mergeCell ref="L21:M21"/>
    <mergeCell ref="L27:M27"/>
    <mergeCell ref="L23:M23"/>
    <mergeCell ref="L22:M22"/>
    <mergeCell ref="K29:K31"/>
    <mergeCell ref="L36:M36"/>
    <mergeCell ref="D47:E47"/>
    <mergeCell ref="D51:E53"/>
    <mergeCell ref="L49:M49"/>
    <mergeCell ref="H47:I47"/>
    <mergeCell ref="L47:M47"/>
    <mergeCell ref="G51:G53"/>
    <mergeCell ref="H44:I44"/>
    <mergeCell ref="D48:E48"/>
    <mergeCell ref="G50:J50"/>
    <mergeCell ref="O39:R39"/>
    <mergeCell ref="P40:Q42"/>
    <mergeCell ref="L24:M24"/>
    <mergeCell ref="L25:M25"/>
    <mergeCell ref="L26:M26"/>
    <mergeCell ref="P38:Q38"/>
    <mergeCell ref="O29:O31"/>
    <mergeCell ref="P25:Q25"/>
    <mergeCell ref="P26:Q26"/>
    <mergeCell ref="L34:M34"/>
    <mergeCell ref="P32:Q32"/>
    <mergeCell ref="P34:Q34"/>
    <mergeCell ref="P35:Q35"/>
    <mergeCell ref="P36:Q36"/>
    <mergeCell ref="P33:Q33"/>
    <mergeCell ref="H55:I55"/>
    <mergeCell ref="H60:I60"/>
    <mergeCell ref="P59:Q59"/>
    <mergeCell ref="H56:I56"/>
    <mergeCell ref="H57:I57"/>
    <mergeCell ref="D55:E55"/>
    <mergeCell ref="D60:E60"/>
    <mergeCell ref="D56:E56"/>
    <mergeCell ref="D57:E57"/>
    <mergeCell ref="D58:E58"/>
    <mergeCell ref="P13:Q13"/>
    <mergeCell ref="P21:Q21"/>
    <mergeCell ref="O18:O20"/>
    <mergeCell ref="P18:Q20"/>
    <mergeCell ref="O17:R17"/>
    <mergeCell ref="P15:Q15"/>
    <mergeCell ref="P14:Q14"/>
    <mergeCell ref="Q68:R68"/>
    <mergeCell ref="A66:A67"/>
    <mergeCell ref="B66:F66"/>
    <mergeCell ref="G66:J66"/>
    <mergeCell ref="K66:N66"/>
    <mergeCell ref="G67:H67"/>
    <mergeCell ref="B67:D67"/>
    <mergeCell ref="E67:F67"/>
    <mergeCell ref="O67:P67"/>
    <mergeCell ref="Q75:R75"/>
    <mergeCell ref="O66:R66"/>
    <mergeCell ref="I67:J67"/>
    <mergeCell ref="K67:L67"/>
    <mergeCell ref="M67:N67"/>
    <mergeCell ref="Q67:R67"/>
    <mergeCell ref="O75:P75"/>
    <mergeCell ref="I72:J72"/>
    <mergeCell ref="Q70:R70"/>
    <mergeCell ref="M69:N69"/>
    <mergeCell ref="H23:I23"/>
    <mergeCell ref="H21:I21"/>
    <mergeCell ref="H18:I20"/>
    <mergeCell ref="H22:I22"/>
    <mergeCell ref="D29:E31"/>
    <mergeCell ref="H36:I36"/>
    <mergeCell ref="H46:I46"/>
    <mergeCell ref="H35:I35"/>
    <mergeCell ref="H45:I45"/>
    <mergeCell ref="B24:C24"/>
    <mergeCell ref="H48:I48"/>
    <mergeCell ref="B22:C22"/>
    <mergeCell ref="B17:F17"/>
    <mergeCell ref="B23:C23"/>
    <mergeCell ref="D21:E21"/>
    <mergeCell ref="D18:E20"/>
    <mergeCell ref="D22:E22"/>
    <mergeCell ref="D23:E23"/>
    <mergeCell ref="D32:E32"/>
    <mergeCell ref="B12:C12"/>
    <mergeCell ref="D13:E13"/>
    <mergeCell ref="B13:C13"/>
    <mergeCell ref="B16:C16"/>
    <mergeCell ref="B15:C15"/>
    <mergeCell ref="D15:E15"/>
    <mergeCell ref="B14:C14"/>
    <mergeCell ref="D14:E14"/>
    <mergeCell ref="L5:M9"/>
    <mergeCell ref="H13:I13"/>
    <mergeCell ref="H12:I12"/>
    <mergeCell ref="H16:I16"/>
    <mergeCell ref="H15:I15"/>
    <mergeCell ref="L14:M14"/>
    <mergeCell ref="O4:R4"/>
    <mergeCell ref="K4:N4"/>
    <mergeCell ref="J7:J8"/>
    <mergeCell ref="H11:I11"/>
    <mergeCell ref="L10:M10"/>
    <mergeCell ref="P10:Q10"/>
    <mergeCell ref="R6:R7"/>
    <mergeCell ref="R8:R9"/>
    <mergeCell ref="N6:N7"/>
    <mergeCell ref="N8:N9"/>
    <mergeCell ref="B11:C11"/>
    <mergeCell ref="A4:A9"/>
    <mergeCell ref="P5:Q9"/>
    <mergeCell ref="O5:O9"/>
    <mergeCell ref="F7:F9"/>
    <mergeCell ref="D5:G6"/>
    <mergeCell ref="H5:J6"/>
    <mergeCell ref="B4:J4"/>
    <mergeCell ref="K5:K9"/>
    <mergeCell ref="P11:Q11"/>
    <mergeCell ref="P12:Q12"/>
    <mergeCell ref="P16:Q16"/>
    <mergeCell ref="D12:E12"/>
    <mergeCell ref="D11:E11"/>
    <mergeCell ref="D16:E16"/>
    <mergeCell ref="L11:M11"/>
    <mergeCell ref="L12:M12"/>
    <mergeCell ref="L16:M16"/>
    <mergeCell ref="L13:M13"/>
    <mergeCell ref="H14:I14"/>
    <mergeCell ref="D24:E24"/>
    <mergeCell ref="H24:I24"/>
    <mergeCell ref="B27:C27"/>
    <mergeCell ref="H25:I25"/>
    <mergeCell ref="B25:C25"/>
    <mergeCell ref="H27:I27"/>
    <mergeCell ref="B26:C26"/>
    <mergeCell ref="D25:E25"/>
    <mergeCell ref="D27:E27"/>
    <mergeCell ref="D26:E26"/>
    <mergeCell ref="A28:A31"/>
    <mergeCell ref="L35:M35"/>
    <mergeCell ref="H38:I38"/>
    <mergeCell ref="B29:C31"/>
    <mergeCell ref="B28:F28"/>
    <mergeCell ref="B32:C32"/>
    <mergeCell ref="H32:I32"/>
    <mergeCell ref="H29:I31"/>
    <mergeCell ref="G28:J28"/>
    <mergeCell ref="L38:M38"/>
    <mergeCell ref="A17:A20"/>
    <mergeCell ref="G18:G20"/>
    <mergeCell ref="B18:C20"/>
    <mergeCell ref="B21:C21"/>
    <mergeCell ref="G17:J17"/>
    <mergeCell ref="A50:A53"/>
    <mergeCell ref="G39:J39"/>
    <mergeCell ref="G40:G42"/>
    <mergeCell ref="H51:I53"/>
    <mergeCell ref="H40:I42"/>
    <mergeCell ref="A39:A42"/>
    <mergeCell ref="D40:E42"/>
    <mergeCell ref="H43:I43"/>
    <mergeCell ref="D49:E49"/>
    <mergeCell ref="B50:F50"/>
    <mergeCell ref="B10:C10"/>
    <mergeCell ref="D10:E10"/>
    <mergeCell ref="H7:I9"/>
    <mergeCell ref="H10:I10"/>
    <mergeCell ref="G7:G9"/>
    <mergeCell ref="D7:E9"/>
    <mergeCell ref="B5:C9"/>
    <mergeCell ref="O69:P69"/>
    <mergeCell ref="Q69:R69"/>
    <mergeCell ref="O70:P70"/>
    <mergeCell ref="M70:N70"/>
    <mergeCell ref="B72:D72"/>
    <mergeCell ref="E72:F72"/>
    <mergeCell ref="G72:H72"/>
    <mergeCell ref="M68:N68"/>
    <mergeCell ref="E69:F69"/>
    <mergeCell ref="G70:H70"/>
    <mergeCell ref="G69:H69"/>
    <mergeCell ref="I69:J69"/>
    <mergeCell ref="I70:J70"/>
    <mergeCell ref="K69:L69"/>
    <mergeCell ref="B58:C58"/>
    <mergeCell ref="B59:C59"/>
    <mergeCell ref="H59:I59"/>
    <mergeCell ref="L59:M59"/>
    <mergeCell ref="H58:I58"/>
    <mergeCell ref="D59:E59"/>
    <mergeCell ref="B73:D73"/>
    <mergeCell ref="E73:F73"/>
    <mergeCell ref="G73:H73"/>
    <mergeCell ref="B49:C49"/>
    <mergeCell ref="H54:I54"/>
    <mergeCell ref="B68:D68"/>
    <mergeCell ref="E68:F68"/>
    <mergeCell ref="B69:D69"/>
    <mergeCell ref="B70:D70"/>
    <mergeCell ref="E70:F70"/>
    <mergeCell ref="B74:D74"/>
    <mergeCell ref="E74:F74"/>
    <mergeCell ref="G74:H74"/>
    <mergeCell ref="Q77:R77"/>
    <mergeCell ref="B77:D77"/>
    <mergeCell ref="E77:F77"/>
    <mergeCell ref="I74:J74"/>
    <mergeCell ref="G77:H77"/>
    <mergeCell ref="I77:J77"/>
    <mergeCell ref="B75:D75"/>
    <mergeCell ref="E75:F75"/>
    <mergeCell ref="G75:H75"/>
    <mergeCell ref="I75:J75"/>
    <mergeCell ref="K77:L77"/>
    <mergeCell ref="K76:L76"/>
    <mergeCell ref="O77:P77"/>
    <mergeCell ref="G68:H68"/>
    <mergeCell ref="I68:J68"/>
    <mergeCell ref="O74:P74"/>
    <mergeCell ref="M75:N75"/>
    <mergeCell ref="K68:L68"/>
    <mergeCell ref="O68:P68"/>
    <mergeCell ref="O73:P73"/>
    <mergeCell ref="K75:L75"/>
    <mergeCell ref="M73:N73"/>
    <mergeCell ref="M77:N77"/>
    <mergeCell ref="K72:L72"/>
    <mergeCell ref="M72:N72"/>
    <mergeCell ref="M76:N76"/>
    <mergeCell ref="K40:K42"/>
    <mergeCell ref="O40:O42"/>
    <mergeCell ref="L46:M46"/>
    <mergeCell ref="P43:Q43"/>
    <mergeCell ref="P44:Q44"/>
    <mergeCell ref="P45:Q45"/>
    <mergeCell ref="I73:J73"/>
    <mergeCell ref="M74:N74"/>
    <mergeCell ref="Q72:R72"/>
    <mergeCell ref="K73:L73"/>
    <mergeCell ref="Q74:R74"/>
    <mergeCell ref="O72:P72"/>
    <mergeCell ref="K74:L74"/>
    <mergeCell ref="Q73:R73"/>
    <mergeCell ref="P47:Q47"/>
    <mergeCell ref="L15:M15"/>
    <mergeCell ref="P46:Q46"/>
    <mergeCell ref="P49:Q49"/>
    <mergeCell ref="P22:Q22"/>
    <mergeCell ref="P27:Q27"/>
    <mergeCell ref="P29:Q31"/>
    <mergeCell ref="P23:Q23"/>
    <mergeCell ref="P24:Q24"/>
    <mergeCell ref="O28:R28"/>
    <mergeCell ref="B34:C34"/>
    <mergeCell ref="B33:C33"/>
    <mergeCell ref="D33:E33"/>
    <mergeCell ref="D36:E36"/>
    <mergeCell ref="B35:C35"/>
    <mergeCell ref="D35:E35"/>
    <mergeCell ref="D34:E34"/>
    <mergeCell ref="B43:C43"/>
    <mergeCell ref="B38:C38"/>
    <mergeCell ref="D38:E38"/>
    <mergeCell ref="B40:C42"/>
    <mergeCell ref="B39:F39"/>
    <mergeCell ref="D43:E43"/>
    <mergeCell ref="B57:C57"/>
    <mergeCell ref="B56:C56"/>
    <mergeCell ref="B55:C55"/>
    <mergeCell ref="B36:C36"/>
    <mergeCell ref="B46:C46"/>
    <mergeCell ref="B47:C47"/>
    <mergeCell ref="B51:C53"/>
    <mergeCell ref="B45:C45"/>
    <mergeCell ref="B48:C48"/>
    <mergeCell ref="B44:C44"/>
  </mergeCells>
  <printOptions/>
  <pageMargins left="0.7874015748031497" right="0.7874015748031497" top="0.7874015748031497" bottom="0.52" header="0.5118110236220472" footer="0.38"/>
  <pageSetup horizontalDpi="600" verticalDpi="600" orientation="portrait" paperSize="9" r:id="rId1"/>
  <headerFooter alignWithMargins="0">
    <oddHeader>&amp;L&amp;8 36　　　　人　口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R57"/>
  <sheetViews>
    <sheetView workbookViewId="0" topLeftCell="A34">
      <selection activeCell="C25" sqref="C25"/>
    </sheetView>
  </sheetViews>
  <sheetFormatPr defaultColWidth="9.00390625" defaultRowHeight="13.5"/>
  <cols>
    <col min="1" max="1" width="5.125" style="210" customWidth="1"/>
    <col min="2" max="2" width="3.625" style="210" customWidth="1"/>
    <col min="3" max="5" width="3.50390625" style="210" customWidth="1"/>
    <col min="6" max="18" width="6.625" style="210" customWidth="1"/>
    <col min="19" max="16384" width="9.00390625" style="210" customWidth="1"/>
  </cols>
  <sheetData>
    <row r="1" spans="1:18" ht="26.25" customHeight="1">
      <c r="A1" s="12" t="s">
        <v>187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2.5" customHeight="1">
      <c r="A2" s="26" t="s">
        <v>250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3"/>
      <c r="Q2" s="13"/>
      <c r="R2" s="13"/>
    </row>
    <row r="3" spans="1:15" ht="13.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230" customFormat="1" ht="13.5">
      <c r="A4" s="350" t="s">
        <v>158</v>
      </c>
      <c r="B4" s="291"/>
      <c r="C4" s="346" t="s">
        <v>35</v>
      </c>
      <c r="D4" s="346"/>
      <c r="E4" s="346"/>
      <c r="F4" s="346" t="s">
        <v>36</v>
      </c>
      <c r="G4" s="346"/>
      <c r="H4" s="346"/>
      <c r="I4" s="346" t="s">
        <v>39</v>
      </c>
      <c r="J4" s="346"/>
      <c r="K4" s="346"/>
      <c r="L4" s="346"/>
      <c r="M4" s="346"/>
      <c r="N4" s="346"/>
      <c r="O4" s="347"/>
    </row>
    <row r="5" spans="1:15" s="230" customFormat="1" ht="13.5">
      <c r="A5" s="303"/>
      <c r="B5" s="259"/>
      <c r="C5" s="348"/>
      <c r="D5" s="348"/>
      <c r="E5" s="348"/>
      <c r="F5" s="348" t="s">
        <v>35</v>
      </c>
      <c r="G5" s="348" t="s">
        <v>159</v>
      </c>
      <c r="H5" s="348" t="s">
        <v>160</v>
      </c>
      <c r="I5" s="348" t="s">
        <v>35</v>
      </c>
      <c r="J5" s="348" t="s">
        <v>165</v>
      </c>
      <c r="K5" s="348"/>
      <c r="L5" s="348"/>
      <c r="M5" s="348" t="s">
        <v>42</v>
      </c>
      <c r="N5" s="348"/>
      <c r="O5" s="349"/>
    </row>
    <row r="6" spans="1:15" s="230" customFormat="1" ht="13.5">
      <c r="A6" s="351"/>
      <c r="B6" s="292"/>
      <c r="C6" s="348"/>
      <c r="D6" s="348"/>
      <c r="E6" s="348"/>
      <c r="F6" s="348"/>
      <c r="G6" s="348"/>
      <c r="H6" s="348"/>
      <c r="I6" s="348"/>
      <c r="J6" s="48" t="s">
        <v>35</v>
      </c>
      <c r="K6" s="48" t="s">
        <v>161</v>
      </c>
      <c r="L6" s="48" t="s">
        <v>162</v>
      </c>
      <c r="M6" s="48" t="s">
        <v>35</v>
      </c>
      <c r="N6" s="48" t="s">
        <v>163</v>
      </c>
      <c r="O6" s="53" t="s">
        <v>164</v>
      </c>
    </row>
    <row r="7" spans="1:15" s="231" customFormat="1" ht="3.75" customHeight="1">
      <c r="A7" s="96"/>
      <c r="B7" s="148"/>
      <c r="C7" s="96"/>
      <c r="D7" s="340"/>
      <c r="E7" s="340"/>
      <c r="F7" s="33"/>
      <c r="G7" s="33"/>
      <c r="H7" s="96"/>
      <c r="I7" s="33"/>
      <c r="J7" s="33"/>
      <c r="K7" s="96"/>
      <c r="L7" s="33"/>
      <c r="M7" s="33"/>
      <c r="N7" s="96"/>
      <c r="O7" s="33"/>
    </row>
    <row r="8" spans="1:15" s="231" customFormat="1" ht="13.5" customHeight="1">
      <c r="A8" s="303">
        <v>17</v>
      </c>
      <c r="B8" s="259"/>
      <c r="C8" s="345">
        <v>940</v>
      </c>
      <c r="D8" s="345"/>
      <c r="E8" s="345"/>
      <c r="F8" s="31">
        <v>257</v>
      </c>
      <c r="G8" s="29">
        <v>1491</v>
      </c>
      <c r="H8" s="56">
        <v>1234</v>
      </c>
      <c r="I8" s="31">
        <v>683</v>
      </c>
      <c r="J8" s="31">
        <v>791</v>
      </c>
      <c r="K8" s="47">
        <v>10523</v>
      </c>
      <c r="L8" s="31">
        <v>9732</v>
      </c>
      <c r="M8" s="31">
        <v>-108</v>
      </c>
      <c r="N8" s="47">
        <v>704</v>
      </c>
      <c r="O8" s="31">
        <v>812</v>
      </c>
    </row>
    <row r="9" spans="1:15" s="231" customFormat="1" ht="13.5" customHeight="1">
      <c r="A9" s="303">
        <v>18</v>
      </c>
      <c r="B9" s="259"/>
      <c r="C9" s="345">
        <v>1557</v>
      </c>
      <c r="D9" s="345"/>
      <c r="E9" s="345"/>
      <c r="F9" s="31">
        <v>294</v>
      </c>
      <c r="G9" s="29">
        <v>1550</v>
      </c>
      <c r="H9" s="56">
        <v>1256</v>
      </c>
      <c r="I9" s="31">
        <v>1263</v>
      </c>
      <c r="J9" s="31">
        <v>1294</v>
      </c>
      <c r="K9" s="47">
        <v>11231</v>
      </c>
      <c r="L9" s="31">
        <v>9937</v>
      </c>
      <c r="M9" s="31">
        <v>-31</v>
      </c>
      <c r="N9" s="47">
        <v>531</v>
      </c>
      <c r="O9" s="31">
        <v>562</v>
      </c>
    </row>
    <row r="10" spans="1:15" s="231" customFormat="1" ht="13.5" customHeight="1">
      <c r="A10" s="303">
        <v>19</v>
      </c>
      <c r="B10" s="259"/>
      <c r="C10" s="345">
        <v>1226</v>
      </c>
      <c r="D10" s="345"/>
      <c r="E10" s="345"/>
      <c r="F10" s="31">
        <v>259</v>
      </c>
      <c r="G10" s="29">
        <v>1552</v>
      </c>
      <c r="H10" s="56">
        <v>1293</v>
      </c>
      <c r="I10" s="31">
        <v>967</v>
      </c>
      <c r="J10" s="31">
        <v>848</v>
      </c>
      <c r="K10" s="47">
        <v>10738</v>
      </c>
      <c r="L10" s="31">
        <v>9890</v>
      </c>
      <c r="M10" s="31">
        <v>119</v>
      </c>
      <c r="N10" s="47">
        <v>487</v>
      </c>
      <c r="O10" s="31">
        <v>368</v>
      </c>
    </row>
    <row r="11" spans="1:15" s="231" customFormat="1" ht="13.5" customHeight="1">
      <c r="A11" s="303">
        <v>20</v>
      </c>
      <c r="B11" s="259"/>
      <c r="C11" s="345">
        <v>1145</v>
      </c>
      <c r="D11" s="345"/>
      <c r="E11" s="345"/>
      <c r="F11" s="31">
        <v>288</v>
      </c>
      <c r="G11" s="29">
        <v>1569</v>
      </c>
      <c r="H11" s="56">
        <v>1281</v>
      </c>
      <c r="I11" s="31">
        <v>857</v>
      </c>
      <c r="J11" s="31">
        <v>745</v>
      </c>
      <c r="K11" s="47">
        <v>10635</v>
      </c>
      <c r="L11" s="31">
        <v>9890</v>
      </c>
      <c r="M11" s="31">
        <v>112</v>
      </c>
      <c r="N11" s="47">
        <v>465</v>
      </c>
      <c r="O11" s="31">
        <v>353</v>
      </c>
    </row>
    <row r="12" spans="1:15" ht="13.5" customHeight="1">
      <c r="A12" s="273">
        <v>21</v>
      </c>
      <c r="B12" s="260"/>
      <c r="C12" s="343">
        <f>F12+I12</f>
        <v>772</v>
      </c>
      <c r="D12" s="344"/>
      <c r="E12" s="344"/>
      <c r="F12" s="8">
        <f>G12-H12</f>
        <v>131</v>
      </c>
      <c r="G12" s="5">
        <f>SUM(G14:G25)</f>
        <v>1469</v>
      </c>
      <c r="H12" s="5">
        <f>SUM(H14:H25)</f>
        <v>1338</v>
      </c>
      <c r="I12" s="8">
        <f>J12+M12</f>
        <v>641</v>
      </c>
      <c r="J12" s="8">
        <f>K12-L12</f>
        <v>515</v>
      </c>
      <c r="K12" s="8">
        <f>SUM(K14:K25)</f>
        <v>10481</v>
      </c>
      <c r="L12" s="8">
        <f>SUM(L14:L25)</f>
        <v>9966</v>
      </c>
      <c r="M12" s="8">
        <f>N12-O12</f>
        <v>126</v>
      </c>
      <c r="N12" s="8">
        <f>SUM(N14:N25)</f>
        <v>580</v>
      </c>
      <c r="O12" s="8">
        <f>SUM(O14:O25)</f>
        <v>454</v>
      </c>
    </row>
    <row r="13" spans="1:15" s="231" customFormat="1" ht="4.5" customHeight="1">
      <c r="A13" s="36"/>
      <c r="B13" s="112"/>
      <c r="C13" s="37"/>
      <c r="D13" s="340"/>
      <c r="E13" s="340"/>
      <c r="F13" s="31"/>
      <c r="G13" s="29"/>
      <c r="H13" s="56"/>
      <c r="I13" s="31"/>
      <c r="J13" s="31"/>
      <c r="K13" s="47"/>
      <c r="L13" s="31"/>
      <c r="M13" s="31"/>
      <c r="N13" s="47"/>
      <c r="O13" s="31"/>
    </row>
    <row r="14" spans="1:15" s="231" customFormat="1" ht="13.5" customHeight="1">
      <c r="A14" s="98">
        <v>21</v>
      </c>
      <c r="B14" s="146" t="s">
        <v>305</v>
      </c>
      <c r="C14" s="145"/>
      <c r="D14" s="339">
        <f>SUM(F14,I14)</f>
        <v>-8</v>
      </c>
      <c r="E14" s="339"/>
      <c r="F14" s="30">
        <f>G14-H14</f>
        <v>8</v>
      </c>
      <c r="G14" s="42">
        <v>156</v>
      </c>
      <c r="H14" s="141">
        <v>148</v>
      </c>
      <c r="I14" s="30">
        <f>SUM(J14,M14)</f>
        <v>-16</v>
      </c>
      <c r="J14" s="30">
        <f>K14-L14</f>
        <v>-17</v>
      </c>
      <c r="K14" s="224">
        <v>586</v>
      </c>
      <c r="L14" s="30">
        <v>603</v>
      </c>
      <c r="M14" s="30">
        <f>N14-O14</f>
        <v>1</v>
      </c>
      <c r="N14" s="224">
        <v>59</v>
      </c>
      <c r="O14" s="30">
        <v>58</v>
      </c>
    </row>
    <row r="15" spans="1:15" s="231" customFormat="1" ht="13.5" customHeight="1">
      <c r="A15" s="36"/>
      <c r="B15" s="146" t="s">
        <v>306</v>
      </c>
      <c r="C15" s="145"/>
      <c r="D15" s="339">
        <f aca="true" t="shared" si="0" ref="D15:D25">SUM(F15,I15)</f>
        <v>-4</v>
      </c>
      <c r="E15" s="339"/>
      <c r="F15" s="30">
        <f aca="true" t="shared" si="1" ref="F15:F25">G15-H15</f>
        <v>-1</v>
      </c>
      <c r="G15" s="42">
        <v>106</v>
      </c>
      <c r="H15" s="141">
        <v>107</v>
      </c>
      <c r="I15" s="30">
        <f aca="true" t="shared" si="2" ref="I15:I25">SUM(J15,M15)</f>
        <v>-3</v>
      </c>
      <c r="J15" s="30">
        <f aca="true" t="shared" si="3" ref="J15:J25">K15-L15</f>
        <v>-36</v>
      </c>
      <c r="K15" s="224">
        <v>677</v>
      </c>
      <c r="L15" s="30">
        <v>713</v>
      </c>
      <c r="M15" s="30">
        <f aca="true" t="shared" si="4" ref="M15:M25">N15-O15</f>
        <v>33</v>
      </c>
      <c r="N15" s="224">
        <v>50</v>
      </c>
      <c r="O15" s="30">
        <v>17</v>
      </c>
    </row>
    <row r="16" spans="1:15" s="231" customFormat="1" ht="13.5" customHeight="1">
      <c r="A16" s="36"/>
      <c r="B16" s="146" t="s">
        <v>241</v>
      </c>
      <c r="C16" s="145"/>
      <c r="D16" s="339">
        <f t="shared" si="0"/>
        <v>221</v>
      </c>
      <c r="E16" s="339"/>
      <c r="F16" s="30">
        <f t="shared" si="1"/>
        <v>24</v>
      </c>
      <c r="G16" s="42">
        <v>122</v>
      </c>
      <c r="H16" s="141">
        <v>98</v>
      </c>
      <c r="I16" s="30">
        <f t="shared" si="2"/>
        <v>197</v>
      </c>
      <c r="J16" s="30">
        <f t="shared" si="3"/>
        <v>153</v>
      </c>
      <c r="K16" s="224">
        <v>1848</v>
      </c>
      <c r="L16" s="30">
        <v>1695</v>
      </c>
      <c r="M16" s="30">
        <f t="shared" si="4"/>
        <v>44</v>
      </c>
      <c r="N16" s="224">
        <v>61</v>
      </c>
      <c r="O16" s="30">
        <v>17</v>
      </c>
    </row>
    <row r="17" spans="1:15" s="231" customFormat="1" ht="13.5" customHeight="1">
      <c r="A17" s="36"/>
      <c r="B17" s="146" t="s">
        <v>242</v>
      </c>
      <c r="C17" s="145"/>
      <c r="D17" s="339">
        <f t="shared" si="0"/>
        <v>593</v>
      </c>
      <c r="E17" s="339"/>
      <c r="F17" s="30">
        <f t="shared" si="1"/>
        <v>-1</v>
      </c>
      <c r="G17" s="42">
        <v>106</v>
      </c>
      <c r="H17" s="141">
        <v>107</v>
      </c>
      <c r="I17" s="30">
        <f t="shared" si="2"/>
        <v>594</v>
      </c>
      <c r="J17" s="30">
        <f t="shared" si="3"/>
        <v>531</v>
      </c>
      <c r="K17" s="224">
        <v>1554</v>
      </c>
      <c r="L17" s="30">
        <v>1023</v>
      </c>
      <c r="M17" s="30">
        <f t="shared" si="4"/>
        <v>63</v>
      </c>
      <c r="N17" s="224">
        <v>81</v>
      </c>
      <c r="O17" s="30">
        <v>18</v>
      </c>
    </row>
    <row r="18" spans="1:15" s="231" customFormat="1" ht="13.5" customHeight="1">
      <c r="A18" s="36"/>
      <c r="B18" s="146" t="s">
        <v>243</v>
      </c>
      <c r="C18" s="145"/>
      <c r="D18" s="339">
        <f t="shared" si="0"/>
        <v>-86</v>
      </c>
      <c r="E18" s="339"/>
      <c r="F18" s="30">
        <f t="shared" si="1"/>
        <v>9</v>
      </c>
      <c r="G18" s="42">
        <v>112</v>
      </c>
      <c r="H18" s="141">
        <v>103</v>
      </c>
      <c r="I18" s="30">
        <f t="shared" si="2"/>
        <v>-95</v>
      </c>
      <c r="J18" s="30">
        <f t="shared" si="3"/>
        <v>-51</v>
      </c>
      <c r="K18" s="224">
        <v>657</v>
      </c>
      <c r="L18" s="30">
        <v>708</v>
      </c>
      <c r="M18" s="30">
        <f t="shared" si="4"/>
        <v>-44</v>
      </c>
      <c r="N18" s="224">
        <v>30</v>
      </c>
      <c r="O18" s="30">
        <v>74</v>
      </c>
    </row>
    <row r="19" spans="1:15" s="231" customFormat="1" ht="13.5" customHeight="1">
      <c r="A19" s="36"/>
      <c r="B19" s="146" t="s">
        <v>244</v>
      </c>
      <c r="C19" s="145"/>
      <c r="D19" s="339">
        <f t="shared" si="0"/>
        <v>121</v>
      </c>
      <c r="E19" s="339"/>
      <c r="F19" s="30">
        <f t="shared" si="1"/>
        <v>24</v>
      </c>
      <c r="G19" s="42">
        <v>129</v>
      </c>
      <c r="H19" s="141">
        <v>105</v>
      </c>
      <c r="I19" s="30">
        <f t="shared" si="2"/>
        <v>97</v>
      </c>
      <c r="J19" s="30">
        <f t="shared" si="3"/>
        <v>49</v>
      </c>
      <c r="K19" s="224">
        <v>756</v>
      </c>
      <c r="L19" s="30">
        <v>707</v>
      </c>
      <c r="M19" s="30">
        <f t="shared" si="4"/>
        <v>48</v>
      </c>
      <c r="N19" s="224">
        <v>76</v>
      </c>
      <c r="O19" s="30">
        <v>28</v>
      </c>
    </row>
    <row r="20" spans="1:15" s="231" customFormat="1" ht="13.5" customHeight="1">
      <c r="A20" s="36"/>
      <c r="B20" s="146" t="s">
        <v>245</v>
      </c>
      <c r="C20" s="145"/>
      <c r="D20" s="339">
        <f t="shared" si="0"/>
        <v>30</v>
      </c>
      <c r="E20" s="339"/>
      <c r="F20" s="30">
        <f t="shared" si="1"/>
        <v>2</v>
      </c>
      <c r="G20" s="42">
        <v>120</v>
      </c>
      <c r="H20" s="141">
        <v>118</v>
      </c>
      <c r="I20" s="30">
        <f t="shared" si="2"/>
        <v>28</v>
      </c>
      <c r="J20" s="30">
        <f t="shared" si="3"/>
        <v>20</v>
      </c>
      <c r="K20" s="224">
        <v>803</v>
      </c>
      <c r="L20" s="30">
        <v>783</v>
      </c>
      <c r="M20" s="30">
        <f t="shared" si="4"/>
        <v>8</v>
      </c>
      <c r="N20" s="224">
        <v>51</v>
      </c>
      <c r="O20" s="30">
        <v>43</v>
      </c>
    </row>
    <row r="21" spans="1:15" s="231" customFormat="1" ht="13.5" customHeight="1">
      <c r="A21" s="36"/>
      <c r="B21" s="146" t="s">
        <v>246</v>
      </c>
      <c r="C21" s="145"/>
      <c r="D21" s="339">
        <f t="shared" si="0"/>
        <v>-28</v>
      </c>
      <c r="E21" s="339"/>
      <c r="F21" s="30">
        <f t="shared" si="1"/>
        <v>-1</v>
      </c>
      <c r="G21" s="42">
        <v>112</v>
      </c>
      <c r="H21" s="141">
        <v>113</v>
      </c>
      <c r="I21" s="30">
        <f t="shared" si="2"/>
        <v>-27</v>
      </c>
      <c r="J21" s="30">
        <f t="shared" si="3"/>
        <v>-40</v>
      </c>
      <c r="K21" s="224">
        <v>703</v>
      </c>
      <c r="L21" s="30">
        <v>743</v>
      </c>
      <c r="M21" s="30">
        <f t="shared" si="4"/>
        <v>13</v>
      </c>
      <c r="N21" s="224">
        <v>41</v>
      </c>
      <c r="O21" s="30">
        <v>28</v>
      </c>
    </row>
    <row r="22" spans="1:15" s="231" customFormat="1" ht="13.5" customHeight="1">
      <c r="A22" s="36"/>
      <c r="B22" s="146" t="s">
        <v>247</v>
      </c>
      <c r="C22" s="145"/>
      <c r="D22" s="339">
        <f t="shared" si="0"/>
        <v>-58</v>
      </c>
      <c r="E22" s="339"/>
      <c r="F22" s="30">
        <f t="shared" si="1"/>
        <v>39</v>
      </c>
      <c r="G22" s="42">
        <v>125</v>
      </c>
      <c r="H22" s="141">
        <v>86</v>
      </c>
      <c r="I22" s="30">
        <f t="shared" si="2"/>
        <v>-97</v>
      </c>
      <c r="J22" s="30">
        <f t="shared" si="3"/>
        <v>-88</v>
      </c>
      <c r="K22" s="224">
        <v>721</v>
      </c>
      <c r="L22" s="30">
        <v>809</v>
      </c>
      <c r="M22" s="30">
        <f t="shared" si="4"/>
        <v>-9</v>
      </c>
      <c r="N22" s="224">
        <v>39</v>
      </c>
      <c r="O22" s="30">
        <v>48</v>
      </c>
    </row>
    <row r="23" spans="1:15" s="231" customFormat="1" ht="13.5" customHeight="1">
      <c r="A23" s="36"/>
      <c r="B23" s="146" t="s">
        <v>307</v>
      </c>
      <c r="C23" s="145"/>
      <c r="D23" s="339">
        <f t="shared" si="0"/>
        <v>165</v>
      </c>
      <c r="E23" s="339"/>
      <c r="F23" s="30">
        <f t="shared" si="1"/>
        <v>11</v>
      </c>
      <c r="G23" s="42">
        <v>125</v>
      </c>
      <c r="H23" s="141">
        <v>114</v>
      </c>
      <c r="I23" s="30">
        <f t="shared" si="2"/>
        <v>154</v>
      </c>
      <c r="J23" s="30">
        <f t="shared" si="3"/>
        <v>147</v>
      </c>
      <c r="K23" s="224">
        <v>844</v>
      </c>
      <c r="L23" s="30">
        <v>697</v>
      </c>
      <c r="M23" s="30">
        <f t="shared" si="4"/>
        <v>7</v>
      </c>
      <c r="N23" s="224">
        <v>39</v>
      </c>
      <c r="O23" s="30">
        <v>32</v>
      </c>
    </row>
    <row r="24" spans="1:15" s="231" customFormat="1" ht="13.5" customHeight="1">
      <c r="A24" s="36"/>
      <c r="B24" s="146" t="s">
        <v>308</v>
      </c>
      <c r="C24" s="145"/>
      <c r="D24" s="339">
        <f t="shared" si="0"/>
        <v>-43</v>
      </c>
      <c r="E24" s="339"/>
      <c r="F24" s="30">
        <f t="shared" si="1"/>
        <v>11</v>
      </c>
      <c r="G24" s="42">
        <v>137</v>
      </c>
      <c r="H24" s="141">
        <v>126</v>
      </c>
      <c r="I24" s="30">
        <f t="shared" si="2"/>
        <v>-54</v>
      </c>
      <c r="J24" s="30">
        <f t="shared" si="3"/>
        <v>-33</v>
      </c>
      <c r="K24" s="224">
        <v>662</v>
      </c>
      <c r="L24" s="30">
        <v>695</v>
      </c>
      <c r="M24" s="30">
        <f t="shared" si="4"/>
        <v>-21</v>
      </c>
      <c r="N24" s="224">
        <v>25</v>
      </c>
      <c r="O24" s="30">
        <v>46</v>
      </c>
    </row>
    <row r="25" spans="1:15" s="231" customFormat="1" ht="13.5" customHeight="1">
      <c r="A25" s="36"/>
      <c r="B25" s="146" t="s">
        <v>309</v>
      </c>
      <c r="C25" s="145"/>
      <c r="D25" s="339">
        <f t="shared" si="0"/>
        <v>-131</v>
      </c>
      <c r="E25" s="339"/>
      <c r="F25" s="30">
        <f t="shared" si="1"/>
        <v>6</v>
      </c>
      <c r="G25" s="42">
        <v>119</v>
      </c>
      <c r="H25" s="141">
        <v>113</v>
      </c>
      <c r="I25" s="30">
        <f t="shared" si="2"/>
        <v>-137</v>
      </c>
      <c r="J25" s="30">
        <f t="shared" si="3"/>
        <v>-120</v>
      </c>
      <c r="K25" s="224">
        <v>670</v>
      </c>
      <c r="L25" s="30">
        <v>790</v>
      </c>
      <c r="M25" s="30">
        <f t="shared" si="4"/>
        <v>-17</v>
      </c>
      <c r="N25" s="224">
        <v>28</v>
      </c>
      <c r="O25" s="30">
        <v>45</v>
      </c>
    </row>
    <row r="26" spans="1:15" s="231" customFormat="1" ht="3.75" customHeight="1">
      <c r="A26" s="87"/>
      <c r="B26" s="147"/>
      <c r="C26" s="96"/>
      <c r="D26" s="116"/>
      <c r="E26" s="36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231" customFormat="1" ht="13.5" customHeight="1">
      <c r="A27" s="188" t="s">
        <v>260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s="231" customFormat="1" ht="13.5" customHeight="1">
      <c r="A28" s="192" t="s">
        <v>330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s="231" customFormat="1" ht="13.5" customHeight="1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18" s="231" customFormat="1" ht="13.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1:18" ht="22.5" customHeight="1">
      <c r="A31" s="26" t="s">
        <v>251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</row>
    <row r="32" spans="1:18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 t="s">
        <v>0</v>
      </c>
      <c r="N32" s="15"/>
      <c r="O32" s="15"/>
      <c r="P32" s="15"/>
      <c r="R32" s="206"/>
    </row>
    <row r="33" spans="1:18" s="231" customFormat="1" ht="13.5" customHeight="1">
      <c r="A33" s="291" t="s">
        <v>1</v>
      </c>
      <c r="B33" s="289" t="s">
        <v>60</v>
      </c>
      <c r="C33" s="289"/>
      <c r="D33" s="342" t="s">
        <v>56</v>
      </c>
      <c r="E33" s="342"/>
      <c r="F33" s="289" t="s">
        <v>58</v>
      </c>
      <c r="G33" s="289" t="s">
        <v>310</v>
      </c>
      <c r="H33" s="289" t="s">
        <v>311</v>
      </c>
      <c r="I33" s="289" t="s">
        <v>312</v>
      </c>
      <c r="J33" s="289" t="s">
        <v>313</v>
      </c>
      <c r="K33" s="289" t="s">
        <v>314</v>
      </c>
      <c r="L33" s="289" t="s">
        <v>315</v>
      </c>
      <c r="M33" s="337" t="s">
        <v>59</v>
      </c>
      <c r="N33" s="233"/>
      <c r="O33" s="233"/>
      <c r="P33" s="233"/>
      <c r="Q33" s="233"/>
      <c r="R33" s="233"/>
    </row>
    <row r="34" spans="1:18" s="231" customFormat="1" ht="13.5" customHeight="1">
      <c r="A34" s="292"/>
      <c r="B34" s="290"/>
      <c r="C34" s="290"/>
      <c r="D34" s="341" t="s">
        <v>57</v>
      </c>
      <c r="E34" s="341"/>
      <c r="F34" s="290"/>
      <c r="G34" s="290"/>
      <c r="H34" s="290"/>
      <c r="I34" s="290"/>
      <c r="J34" s="290"/>
      <c r="K34" s="290"/>
      <c r="L34" s="290"/>
      <c r="M34" s="338"/>
      <c r="N34" s="233"/>
      <c r="O34" s="233"/>
      <c r="P34" s="233"/>
      <c r="Q34" s="233"/>
      <c r="R34" s="233"/>
    </row>
    <row r="35" spans="1:18" s="231" customFormat="1" ht="3.75" customHeight="1">
      <c r="A35" s="149"/>
      <c r="B35" s="96"/>
      <c r="C35" s="96"/>
      <c r="D35" s="96"/>
      <c r="E35" s="33"/>
      <c r="F35" s="96"/>
      <c r="G35" s="96"/>
      <c r="H35" s="33"/>
      <c r="I35" s="33"/>
      <c r="J35" s="96"/>
      <c r="K35" s="33"/>
      <c r="L35" s="33"/>
      <c r="M35" s="96"/>
      <c r="N35" s="233"/>
      <c r="O35" s="233"/>
      <c r="P35" s="233"/>
      <c r="Q35" s="233"/>
      <c r="R35" s="233"/>
    </row>
    <row r="36" spans="1:18" s="231" customFormat="1" ht="13.5" customHeight="1">
      <c r="A36" s="43">
        <v>18</v>
      </c>
      <c r="B36" s="364">
        <f>SUM(D36:M36)</f>
        <v>3253</v>
      </c>
      <c r="C36" s="365"/>
      <c r="D36" s="367">
        <v>927</v>
      </c>
      <c r="E36" s="367"/>
      <c r="F36" s="29">
        <v>1356</v>
      </c>
      <c r="G36" s="56">
        <v>121</v>
      </c>
      <c r="H36" s="29">
        <v>24</v>
      </c>
      <c r="I36" s="29">
        <v>134</v>
      </c>
      <c r="J36" s="56">
        <v>23</v>
      </c>
      <c r="K36" s="29">
        <v>33</v>
      </c>
      <c r="L36" s="29">
        <v>329</v>
      </c>
      <c r="M36" s="56">
        <v>306</v>
      </c>
      <c r="N36" s="233"/>
      <c r="O36" s="233"/>
      <c r="P36" s="233"/>
      <c r="Q36" s="233"/>
      <c r="R36" s="233"/>
    </row>
    <row r="37" spans="1:18" s="231" customFormat="1" ht="13.5" customHeight="1">
      <c r="A37" s="43">
        <v>19</v>
      </c>
      <c r="B37" s="364">
        <f>SUM(D37:M37)</f>
        <v>3280</v>
      </c>
      <c r="C37" s="365"/>
      <c r="D37" s="367">
        <v>941</v>
      </c>
      <c r="E37" s="367"/>
      <c r="F37" s="29">
        <v>1427</v>
      </c>
      <c r="G37" s="56">
        <v>124</v>
      </c>
      <c r="H37" s="29">
        <v>21</v>
      </c>
      <c r="I37" s="29">
        <v>113</v>
      </c>
      <c r="J37" s="56">
        <v>32</v>
      </c>
      <c r="K37" s="29">
        <v>35</v>
      </c>
      <c r="L37" s="29">
        <v>310</v>
      </c>
      <c r="M37" s="56">
        <v>277</v>
      </c>
      <c r="N37" s="233"/>
      <c r="O37" s="233"/>
      <c r="P37" s="233"/>
      <c r="Q37" s="233"/>
      <c r="R37" s="233"/>
    </row>
    <row r="38" spans="1:18" s="231" customFormat="1" ht="13.5" customHeight="1">
      <c r="A38" s="43">
        <v>20</v>
      </c>
      <c r="B38" s="364">
        <f>SUM(D38:M38)</f>
        <v>3423</v>
      </c>
      <c r="C38" s="365"/>
      <c r="D38" s="367">
        <v>987</v>
      </c>
      <c r="E38" s="367"/>
      <c r="F38" s="29">
        <v>1494</v>
      </c>
      <c r="G38" s="56">
        <v>127</v>
      </c>
      <c r="H38" s="29">
        <v>21</v>
      </c>
      <c r="I38" s="29">
        <v>111</v>
      </c>
      <c r="J38" s="56">
        <v>54</v>
      </c>
      <c r="K38" s="29">
        <v>31</v>
      </c>
      <c r="L38" s="29">
        <v>317</v>
      </c>
      <c r="M38" s="56">
        <v>281</v>
      </c>
      <c r="N38" s="233"/>
      <c r="O38" s="233"/>
      <c r="P38" s="233"/>
      <c r="Q38" s="233"/>
      <c r="R38" s="233"/>
    </row>
    <row r="39" spans="1:18" s="33" customFormat="1" ht="13.5" customHeight="1">
      <c r="A39" s="43">
        <v>21</v>
      </c>
      <c r="B39" s="365">
        <f>SUM(D39:M39)</f>
        <v>3576</v>
      </c>
      <c r="C39" s="365"/>
      <c r="D39" s="365">
        <v>985</v>
      </c>
      <c r="E39" s="365"/>
      <c r="F39" s="42">
        <v>1564</v>
      </c>
      <c r="G39" s="141">
        <v>131</v>
      </c>
      <c r="H39" s="42">
        <v>23</v>
      </c>
      <c r="I39" s="42">
        <v>134</v>
      </c>
      <c r="J39" s="141">
        <v>50</v>
      </c>
      <c r="K39" s="42">
        <v>32</v>
      </c>
      <c r="L39" s="42">
        <v>333</v>
      </c>
      <c r="M39" s="141">
        <v>324</v>
      </c>
      <c r="N39" s="36"/>
      <c r="O39" s="36"/>
      <c r="P39" s="36"/>
      <c r="Q39" s="36"/>
      <c r="R39" s="36"/>
    </row>
    <row r="40" spans="1:18" ht="13.5" customHeight="1">
      <c r="A40" s="64">
        <v>22</v>
      </c>
      <c r="B40" s="368">
        <f>SUM(D40:M40)</f>
        <v>3685</v>
      </c>
      <c r="C40" s="369"/>
      <c r="D40" s="369">
        <v>1000</v>
      </c>
      <c r="E40" s="369"/>
      <c r="F40" s="5">
        <v>1666</v>
      </c>
      <c r="G40" s="7">
        <v>122</v>
      </c>
      <c r="H40" s="5">
        <v>16</v>
      </c>
      <c r="I40" s="5">
        <v>160</v>
      </c>
      <c r="J40" s="7">
        <v>51</v>
      </c>
      <c r="K40" s="5">
        <v>30</v>
      </c>
      <c r="L40" s="5">
        <v>330</v>
      </c>
      <c r="M40" s="7">
        <v>310</v>
      </c>
      <c r="N40" s="206"/>
      <c r="O40" s="206"/>
      <c r="P40" s="206"/>
      <c r="Q40" s="206"/>
      <c r="R40" s="206"/>
    </row>
    <row r="41" spans="1:18" s="231" customFormat="1" ht="3.75" customHeight="1">
      <c r="A41" s="150"/>
      <c r="B41" s="96"/>
      <c r="C41" s="96"/>
      <c r="D41" s="96"/>
      <c r="E41" s="33"/>
      <c r="F41" s="96"/>
      <c r="G41" s="96"/>
      <c r="H41" s="33"/>
      <c r="I41" s="33"/>
      <c r="J41" s="96"/>
      <c r="K41" s="33"/>
      <c r="L41" s="33"/>
      <c r="M41" s="96"/>
      <c r="N41" s="233"/>
      <c r="O41" s="233"/>
      <c r="P41" s="233"/>
      <c r="Q41" s="233"/>
      <c r="R41" s="233"/>
    </row>
    <row r="42" spans="1:18" ht="13.5" customHeight="1">
      <c r="A42" s="188" t="s">
        <v>261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5"/>
      <c r="O42" s="15"/>
      <c r="P42" s="15"/>
      <c r="Q42" s="15"/>
      <c r="R42" s="206"/>
    </row>
    <row r="43" spans="1:18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22.5" customHeight="1">
      <c r="A45" s="26" t="s">
        <v>252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</row>
    <row r="46" spans="1:18" ht="13.5" customHeight="1">
      <c r="A46" s="229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</row>
    <row r="47" spans="1:18" s="231" customFormat="1" ht="13.5">
      <c r="A47" s="352" t="s">
        <v>176</v>
      </c>
      <c r="B47" s="346" t="s">
        <v>177</v>
      </c>
      <c r="C47" s="346"/>
      <c r="D47" s="346"/>
      <c r="E47" s="346"/>
      <c r="F47" s="346"/>
      <c r="G47" s="346"/>
      <c r="H47" s="346"/>
      <c r="I47" s="346"/>
      <c r="J47" s="346"/>
      <c r="K47" s="346" t="s">
        <v>178</v>
      </c>
      <c r="L47" s="346"/>
      <c r="M47" s="346"/>
      <c r="N47" s="346"/>
      <c r="O47" s="347"/>
      <c r="P47" s="233"/>
      <c r="Q47" s="233"/>
      <c r="R47" s="233"/>
    </row>
    <row r="48" spans="1:18" s="230" customFormat="1" ht="13.5">
      <c r="A48" s="353"/>
      <c r="B48" s="348" t="s">
        <v>60</v>
      </c>
      <c r="C48" s="354"/>
      <c r="D48" s="348" t="s">
        <v>37</v>
      </c>
      <c r="E48" s="354"/>
      <c r="F48" s="48" t="s">
        <v>38</v>
      </c>
      <c r="G48" s="48" t="s">
        <v>179</v>
      </c>
      <c r="H48" s="48" t="s">
        <v>180</v>
      </c>
      <c r="I48" s="48" t="s">
        <v>181</v>
      </c>
      <c r="J48" s="48" t="s">
        <v>59</v>
      </c>
      <c r="K48" s="48" t="s">
        <v>60</v>
      </c>
      <c r="L48" s="48" t="s">
        <v>40</v>
      </c>
      <c r="M48" s="48" t="s">
        <v>41</v>
      </c>
      <c r="N48" s="48" t="s">
        <v>182</v>
      </c>
      <c r="O48" s="53" t="s">
        <v>59</v>
      </c>
      <c r="P48" s="234"/>
      <c r="Q48" s="234"/>
      <c r="R48" s="234"/>
    </row>
    <row r="49" spans="1:18" s="231" customFormat="1" ht="5.25" customHeight="1">
      <c r="A49" s="142"/>
      <c r="B49" s="264"/>
      <c r="C49" s="366"/>
      <c r="D49" s="264"/>
      <c r="E49" s="264"/>
      <c r="F49" s="33"/>
      <c r="G49" s="33"/>
      <c r="H49" s="96"/>
      <c r="I49" s="33"/>
      <c r="J49" s="33"/>
      <c r="K49" s="96"/>
      <c r="L49" s="33"/>
      <c r="M49" s="33"/>
      <c r="N49" s="96"/>
      <c r="O49" s="33"/>
      <c r="P49" s="233"/>
      <c r="Q49" s="233"/>
      <c r="R49" s="233"/>
    </row>
    <row r="50" spans="1:18" s="231" customFormat="1" ht="13.5" customHeight="1">
      <c r="A50" s="43">
        <v>17</v>
      </c>
      <c r="B50" s="280">
        <f>SUM(D50:J50)</f>
        <v>7183</v>
      </c>
      <c r="C50" s="358"/>
      <c r="D50" s="359">
        <v>1364</v>
      </c>
      <c r="E50" s="359"/>
      <c r="F50" s="94">
        <v>990</v>
      </c>
      <c r="G50" s="94">
        <v>1816</v>
      </c>
      <c r="H50" s="113">
        <v>518</v>
      </c>
      <c r="I50" s="94">
        <v>1227</v>
      </c>
      <c r="J50" s="94">
        <v>1268</v>
      </c>
      <c r="K50" s="113">
        <f>SUM(L50:O50)</f>
        <v>31788</v>
      </c>
      <c r="L50" s="94">
        <v>8581</v>
      </c>
      <c r="M50" s="94">
        <v>7708</v>
      </c>
      <c r="N50" s="113">
        <v>3474</v>
      </c>
      <c r="O50" s="94">
        <v>12025</v>
      </c>
      <c r="P50" s="233"/>
      <c r="Q50" s="233"/>
      <c r="R50" s="233"/>
    </row>
    <row r="51" spans="1:18" s="231" customFormat="1" ht="13.5" customHeight="1">
      <c r="A51" s="43">
        <v>18</v>
      </c>
      <c r="B51" s="280">
        <f>SUM(D51:J51)</f>
        <v>7134</v>
      </c>
      <c r="C51" s="358"/>
      <c r="D51" s="359">
        <v>1338</v>
      </c>
      <c r="E51" s="359"/>
      <c r="F51" s="94">
        <v>1004</v>
      </c>
      <c r="G51" s="94">
        <v>1871</v>
      </c>
      <c r="H51" s="113">
        <v>480</v>
      </c>
      <c r="I51" s="94">
        <v>1292</v>
      </c>
      <c r="J51" s="94">
        <v>1149</v>
      </c>
      <c r="K51" s="113">
        <f>SUM(L51:O51)</f>
        <v>29275</v>
      </c>
      <c r="L51" s="94">
        <v>8833</v>
      </c>
      <c r="M51" s="94">
        <v>7852</v>
      </c>
      <c r="N51" s="113">
        <v>3433</v>
      </c>
      <c r="O51" s="94">
        <v>9157</v>
      </c>
      <c r="P51" s="233"/>
      <c r="Q51" s="233"/>
      <c r="R51" s="233"/>
    </row>
    <row r="52" spans="1:18" s="231" customFormat="1" ht="13.5" customHeight="1">
      <c r="A52" s="43">
        <v>19</v>
      </c>
      <c r="B52" s="280">
        <v>7044</v>
      </c>
      <c r="C52" s="358"/>
      <c r="D52" s="359">
        <v>1325</v>
      </c>
      <c r="E52" s="359"/>
      <c r="F52" s="94">
        <v>996</v>
      </c>
      <c r="G52" s="94">
        <v>1777</v>
      </c>
      <c r="H52" s="113">
        <v>548</v>
      </c>
      <c r="I52" s="94">
        <v>1173</v>
      </c>
      <c r="J52" s="94">
        <f>B52-D52-F52-G52-H52-I52</f>
        <v>1225</v>
      </c>
      <c r="K52" s="113">
        <f>SUM(L52:O52)</f>
        <v>28062</v>
      </c>
      <c r="L52" s="94">
        <v>8668</v>
      </c>
      <c r="M52" s="94">
        <v>7853</v>
      </c>
      <c r="N52" s="113">
        <v>3121</v>
      </c>
      <c r="O52" s="94">
        <v>8420</v>
      </c>
      <c r="P52" s="233"/>
      <c r="Q52" s="233"/>
      <c r="R52" s="233"/>
    </row>
    <row r="53" spans="1:18" s="33" customFormat="1" ht="13.5" customHeight="1">
      <c r="A53" s="43">
        <v>20</v>
      </c>
      <c r="B53" s="280">
        <v>7171</v>
      </c>
      <c r="C53" s="360"/>
      <c r="D53" s="280">
        <v>1365</v>
      </c>
      <c r="E53" s="280"/>
      <c r="F53" s="93">
        <v>1042</v>
      </c>
      <c r="G53" s="93">
        <v>1831</v>
      </c>
      <c r="H53" s="65">
        <v>517</v>
      </c>
      <c r="I53" s="93">
        <v>1198</v>
      </c>
      <c r="J53" s="93">
        <f>B53-D53-F53-G53-H53-I53</f>
        <v>1218</v>
      </c>
      <c r="K53" s="65">
        <f>SUM(L53:O53)</f>
        <v>28487</v>
      </c>
      <c r="L53" s="93">
        <v>8549</v>
      </c>
      <c r="M53" s="93">
        <v>7846</v>
      </c>
      <c r="N53" s="65">
        <v>3171</v>
      </c>
      <c r="O53" s="93">
        <v>8921</v>
      </c>
      <c r="P53" s="36"/>
      <c r="Q53" s="36"/>
      <c r="R53" s="36"/>
    </row>
    <row r="54" spans="1:18" s="33" customFormat="1" ht="13.5" customHeight="1">
      <c r="A54" s="64">
        <v>21</v>
      </c>
      <c r="B54" s="361">
        <f>SUM(D54:J54)</f>
        <v>7029</v>
      </c>
      <c r="C54" s="362"/>
      <c r="D54" s="363">
        <v>1296</v>
      </c>
      <c r="E54" s="363"/>
      <c r="F54" s="22">
        <v>1027</v>
      </c>
      <c r="G54" s="22">
        <v>1839</v>
      </c>
      <c r="H54" s="235">
        <v>531</v>
      </c>
      <c r="I54" s="22">
        <v>1205</v>
      </c>
      <c r="J54" s="22">
        <v>1131</v>
      </c>
      <c r="K54" s="235">
        <f>SUM(L54:O54)</f>
        <v>34451</v>
      </c>
      <c r="L54" s="22">
        <v>8046</v>
      </c>
      <c r="M54" s="22">
        <v>7725</v>
      </c>
      <c r="N54" s="235">
        <v>3308</v>
      </c>
      <c r="O54" s="22">
        <v>15372</v>
      </c>
      <c r="P54" s="36"/>
      <c r="Q54" s="36"/>
      <c r="R54" s="36"/>
    </row>
    <row r="55" spans="1:18" s="231" customFormat="1" ht="5.25" customHeight="1">
      <c r="A55" s="62"/>
      <c r="B55" s="355"/>
      <c r="C55" s="356"/>
      <c r="D55" s="357"/>
      <c r="E55" s="357"/>
      <c r="F55" s="87"/>
      <c r="G55" s="87"/>
      <c r="H55" s="143"/>
      <c r="I55" s="87"/>
      <c r="J55" s="87"/>
      <c r="K55" s="143"/>
      <c r="L55" s="87"/>
      <c r="M55" s="87"/>
      <c r="N55" s="143"/>
      <c r="O55" s="87"/>
      <c r="P55" s="233"/>
      <c r="Q55" s="233"/>
      <c r="R55" s="233"/>
    </row>
    <row r="56" spans="1:18" s="231" customFormat="1" ht="13.5" customHeight="1">
      <c r="A56" s="193" t="s">
        <v>261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233"/>
      <c r="Q56" s="233"/>
      <c r="R56" s="233"/>
    </row>
    <row r="57" spans="1:16" ht="13.5">
      <c r="A57" s="192" t="s">
        <v>329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10"/>
    </row>
  </sheetData>
  <mergeCells count="75">
    <mergeCell ref="F4:H4"/>
    <mergeCell ref="D39:E39"/>
    <mergeCell ref="B39:C39"/>
    <mergeCell ref="B37:C37"/>
    <mergeCell ref="A9:B9"/>
    <mergeCell ref="A12:B12"/>
    <mergeCell ref="C11:E11"/>
    <mergeCell ref="C8:E8"/>
    <mergeCell ref="A10:B10"/>
    <mergeCell ref="A11:B11"/>
    <mergeCell ref="D37:E37"/>
    <mergeCell ref="B40:C40"/>
    <mergeCell ref="D40:E40"/>
    <mergeCell ref="D38:E38"/>
    <mergeCell ref="B38:C38"/>
    <mergeCell ref="B51:C51"/>
    <mergeCell ref="D51:E51"/>
    <mergeCell ref="B50:C50"/>
    <mergeCell ref="I33:I34"/>
    <mergeCell ref="H33:H34"/>
    <mergeCell ref="D50:E50"/>
    <mergeCell ref="B36:C36"/>
    <mergeCell ref="B49:C49"/>
    <mergeCell ref="D36:E36"/>
    <mergeCell ref="D49:E49"/>
    <mergeCell ref="B55:C55"/>
    <mergeCell ref="D55:E55"/>
    <mergeCell ref="B52:C52"/>
    <mergeCell ref="D52:E52"/>
    <mergeCell ref="B53:C53"/>
    <mergeCell ref="D53:E53"/>
    <mergeCell ref="B54:C54"/>
    <mergeCell ref="D54:E54"/>
    <mergeCell ref="A47:A48"/>
    <mergeCell ref="B48:C48"/>
    <mergeCell ref="D48:E48"/>
    <mergeCell ref="K47:O47"/>
    <mergeCell ref="B47:J47"/>
    <mergeCell ref="I4:O4"/>
    <mergeCell ref="M5:O5"/>
    <mergeCell ref="J5:L5"/>
    <mergeCell ref="A8:B8"/>
    <mergeCell ref="I5:I6"/>
    <mergeCell ref="A4:B6"/>
    <mergeCell ref="C4:E6"/>
    <mergeCell ref="G5:G6"/>
    <mergeCell ref="F5:F6"/>
    <mergeCell ref="H5:H6"/>
    <mergeCell ref="D7:E7"/>
    <mergeCell ref="D19:E19"/>
    <mergeCell ref="D14:E14"/>
    <mergeCell ref="C12:E12"/>
    <mergeCell ref="C10:E10"/>
    <mergeCell ref="D16:E16"/>
    <mergeCell ref="D15:E15"/>
    <mergeCell ref="D18:E18"/>
    <mergeCell ref="D17:E17"/>
    <mergeCell ref="C9:E9"/>
    <mergeCell ref="A33:A34"/>
    <mergeCell ref="D13:E13"/>
    <mergeCell ref="D21:E21"/>
    <mergeCell ref="B33:C34"/>
    <mergeCell ref="D22:E22"/>
    <mergeCell ref="D25:E25"/>
    <mergeCell ref="D23:E23"/>
    <mergeCell ref="D34:E34"/>
    <mergeCell ref="D33:E33"/>
    <mergeCell ref="M33:M34"/>
    <mergeCell ref="D20:E20"/>
    <mergeCell ref="G33:G34"/>
    <mergeCell ref="L33:L34"/>
    <mergeCell ref="K33:K34"/>
    <mergeCell ref="J33:J34"/>
    <mergeCell ref="F33:F34"/>
    <mergeCell ref="D24:E2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&amp;R&amp;8人　口　　　　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2011-03-04T02:39:43Z</cp:lastPrinted>
  <dcterms:created xsi:type="dcterms:W3CDTF">2003-04-30T06:34:41Z</dcterms:created>
  <dcterms:modified xsi:type="dcterms:W3CDTF">2011-03-04T02:43:40Z</dcterms:modified>
  <cp:category/>
  <cp:version/>
  <cp:contentType/>
  <cp:contentStatus/>
</cp:coreProperties>
</file>